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7F8F5E60-A6F1-479B-9360-DDEE10FEC8E1}" xr6:coauthVersionLast="47" xr6:coauthVersionMax="47" xr10:uidLastSave="{00000000-0000-0000-0000-000000000000}"/>
  <bookViews>
    <workbookView xWindow="28680" yWindow="-120" windowWidth="20730" windowHeight="11040" tabRatio="813" xr2:uid="{00000000-000D-0000-FFFF-FFFF00000000}"/>
  </bookViews>
  <sheets>
    <sheet name="INSTRUÇOES PARA PREENCHIMENTO" sheetId="10" r:id="rId1"/>
    <sheet name="NP" sheetId="1" r:id="rId2"/>
    <sheet name="Proposta de Preços" sheetId="9" r:id="rId3"/>
    <sheet name="PC" sheetId="2" r:id="rId4"/>
    <sheet name="Salários.VA.VT.QteDias" sheetId="3" r:id="rId5"/>
    <sheet name="Unif" sheetId="4" r:id="rId6"/>
    <sheet name="Materiais + MLPH" sheetId="5" r:id="rId7"/>
    <sheet name="EPIs" sheetId="6" r:id="rId8"/>
    <sheet name="Marinheiro" sheetId="7" r:id="rId9"/>
    <sheet name="Piloto de Embarcações" sheetId="8" r:id="rId10"/>
  </sheets>
  <externalReferences>
    <externalReference r:id="rId11"/>
    <externalReference r:id="rId12"/>
    <externalReference r:id="rId13"/>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38" i="9" l="1"/>
  <c r="A144" i="8"/>
  <c r="D140" i="8"/>
  <c r="C140" i="8"/>
  <c r="A140" i="8"/>
  <c r="E125" i="8"/>
  <c r="E120" i="8"/>
  <c r="E119" i="8"/>
  <c r="E97" i="8"/>
  <c r="E96" i="8"/>
  <c r="E95" i="8"/>
  <c r="E94" i="8"/>
  <c r="E87" i="8"/>
  <c r="E86" i="8"/>
  <c r="E85" i="8"/>
  <c r="E84" i="8"/>
  <c r="E83" i="8"/>
  <c r="E82" i="8"/>
  <c r="E88" i="8" s="1"/>
  <c r="D65" i="8"/>
  <c r="B65" i="8"/>
  <c r="D63" i="8"/>
  <c r="B63" i="8"/>
  <c r="E59" i="8"/>
  <c r="E46" i="8"/>
  <c r="E47" i="8" s="1"/>
  <c r="E48" i="8" s="1"/>
  <c r="F36" i="8"/>
  <c r="C28" i="8"/>
  <c r="F34" i="8" s="1"/>
  <c r="A144" i="7"/>
  <c r="D140" i="7"/>
  <c r="C140" i="7"/>
  <c r="A140" i="7"/>
  <c r="E125" i="7"/>
  <c r="E120" i="7"/>
  <c r="E119" i="7"/>
  <c r="E97" i="7"/>
  <c r="E96" i="7"/>
  <c r="E95" i="7"/>
  <c r="E99" i="7" s="1"/>
  <c r="E94" i="7"/>
  <c r="E87" i="7"/>
  <c r="E86" i="7"/>
  <c r="E85" i="7"/>
  <c r="E84" i="7"/>
  <c r="E83" i="7"/>
  <c r="E82" i="7"/>
  <c r="E65" i="7"/>
  <c r="F65" i="7" s="1"/>
  <c r="D65" i="7"/>
  <c r="B65" i="7"/>
  <c r="D63" i="7"/>
  <c r="B63" i="7"/>
  <c r="E59" i="7"/>
  <c r="E46" i="7"/>
  <c r="F39" i="7"/>
  <c r="F38" i="7"/>
  <c r="F37" i="7"/>
  <c r="C28" i="7"/>
  <c r="F34" i="7" s="1"/>
  <c r="D12" i="6"/>
  <c r="F9" i="6"/>
  <c r="F8" i="6"/>
  <c r="F7" i="6"/>
  <c r="F6" i="6"/>
  <c r="F5" i="6"/>
  <c r="F4" i="6"/>
  <c r="F3" i="6"/>
  <c r="A3" i="6"/>
  <c r="D22" i="5"/>
  <c r="F19" i="4"/>
  <c r="G18" i="4"/>
  <c r="H18" i="4" s="1"/>
  <c r="I18" i="4" s="1"/>
  <c r="G17" i="4"/>
  <c r="H17" i="4" s="1"/>
  <c r="I17" i="4" s="1"/>
  <c r="G16" i="4"/>
  <c r="H16" i="4" s="1"/>
  <c r="I16" i="4" s="1"/>
  <c r="G15" i="4"/>
  <c r="H15" i="4" s="1"/>
  <c r="I15" i="4" s="1"/>
  <c r="H14" i="4"/>
  <c r="I14" i="4" s="1"/>
  <c r="G14" i="4"/>
  <c r="F9" i="4"/>
  <c r="G8" i="4"/>
  <c r="H8" i="4" s="1"/>
  <c r="I8" i="4" s="1"/>
  <c r="G7" i="4"/>
  <c r="H7" i="4" s="1"/>
  <c r="I7" i="4" s="1"/>
  <c r="G6" i="4"/>
  <c r="H6" i="4" s="1"/>
  <c r="I6" i="4" s="1"/>
  <c r="I5" i="4"/>
  <c r="H5" i="4"/>
  <c r="G5" i="4"/>
  <c r="G4" i="4"/>
  <c r="D56" i="3"/>
  <c r="D48" i="3"/>
  <c r="E9" i="5" s="1"/>
  <c r="A3" i="2"/>
  <c r="A2" i="2"/>
  <c r="A11" i="1"/>
  <c r="A10" i="1"/>
  <c r="A9" i="1"/>
  <c r="A8" i="1"/>
  <c r="A7" i="1"/>
  <c r="A6" i="1"/>
  <c r="A5" i="1"/>
  <c r="A4" i="1"/>
  <c r="A3" i="1"/>
  <c r="G9" i="4" l="1"/>
  <c r="E99" i="8"/>
  <c r="G19" i="4"/>
  <c r="E88" i="7"/>
  <c r="F12" i="6"/>
  <c r="F14" i="6" s="1"/>
  <c r="F15" i="6" s="1"/>
  <c r="F114" i="8" s="1"/>
  <c r="F114" i="7"/>
  <c r="F36" i="7"/>
  <c r="E63" i="7"/>
  <c r="F35" i="7"/>
  <c r="F41" i="7" s="1"/>
  <c r="E63" i="8"/>
  <c r="F63" i="8" s="1"/>
  <c r="F41" i="8"/>
  <c r="H19" i="4"/>
  <c r="F9" i="5"/>
  <c r="G9" i="5" s="1"/>
  <c r="I9" i="5" s="1"/>
  <c r="I19" i="4"/>
  <c r="F111" i="8" s="1"/>
  <c r="E7" i="5"/>
  <c r="E15" i="5"/>
  <c r="E19" i="5"/>
  <c r="H4" i="4"/>
  <c r="E47" i="7"/>
  <c r="E48" i="7" s="1"/>
  <c r="E65" i="8"/>
  <c r="F65" i="8" s="1"/>
  <c r="E13" i="5"/>
  <c r="E4" i="5"/>
  <c r="E6" i="5"/>
  <c r="E8" i="5"/>
  <c r="E10" i="5"/>
  <c r="E12" i="5"/>
  <c r="E14" i="5"/>
  <c r="E16" i="5"/>
  <c r="E18" i="5"/>
  <c r="E20" i="5"/>
  <c r="E3" i="5"/>
  <c r="E5" i="5"/>
  <c r="E11" i="5"/>
  <c r="E17" i="5"/>
  <c r="F115" i="8" l="1"/>
  <c r="F133" i="8" s="1"/>
  <c r="F63" i="7"/>
  <c r="F72" i="7" s="1"/>
  <c r="F77" i="7" s="1"/>
  <c r="F129" i="7"/>
  <c r="F46" i="7"/>
  <c r="F47" i="7"/>
  <c r="G20" i="5"/>
  <c r="I20" i="5" s="1"/>
  <c r="F20" i="5"/>
  <c r="F18" i="5"/>
  <c r="G18" i="5" s="1"/>
  <c r="I18" i="5" s="1"/>
  <c r="F13" i="5"/>
  <c r="G13" i="5" s="1"/>
  <c r="I13" i="5" s="1"/>
  <c r="F6" i="5"/>
  <c r="G6" i="5" s="1"/>
  <c r="I6" i="5" s="1"/>
  <c r="F16" i="5"/>
  <c r="G16" i="5" s="1"/>
  <c r="I16" i="5" s="1"/>
  <c r="F7" i="5"/>
  <c r="G7" i="5" s="1"/>
  <c r="I7" i="5" s="1"/>
  <c r="F4" i="5"/>
  <c r="G4" i="5" s="1"/>
  <c r="I4" i="5" s="1"/>
  <c r="F14" i="5"/>
  <c r="G14" i="5" s="1"/>
  <c r="I14" i="5" s="1"/>
  <c r="F17" i="5"/>
  <c r="G17" i="5" s="1"/>
  <c r="I17" i="5" s="1"/>
  <c r="F12" i="5"/>
  <c r="G12" i="5" s="1"/>
  <c r="I12" i="5" s="1"/>
  <c r="I4" i="4"/>
  <c r="I9" i="4" s="1"/>
  <c r="F111" i="7" s="1"/>
  <c r="F115" i="7" s="1"/>
  <c r="F133" i="7" s="1"/>
  <c r="H9" i="4"/>
  <c r="F3" i="5"/>
  <c r="G3" i="5"/>
  <c r="E22" i="5"/>
  <c r="F10" i="5"/>
  <c r="G10" i="5" s="1"/>
  <c r="I10" i="5" s="1"/>
  <c r="F46" i="8"/>
  <c r="F47" i="8"/>
  <c r="F129" i="8"/>
  <c r="F11" i="5"/>
  <c r="G11" i="5"/>
  <c r="I11" i="5" s="1"/>
  <c r="F19" i="5"/>
  <c r="G19" i="5" s="1"/>
  <c r="I19" i="5" s="1"/>
  <c r="F5" i="5"/>
  <c r="G5" i="5"/>
  <c r="I5" i="5" s="1"/>
  <c r="F8" i="5"/>
  <c r="G8" i="5" s="1"/>
  <c r="I8" i="5" s="1"/>
  <c r="F15" i="5"/>
  <c r="G15" i="5"/>
  <c r="I15" i="5" s="1"/>
  <c r="F72" i="8"/>
  <c r="F77" i="8" s="1"/>
  <c r="F48" i="7" l="1"/>
  <c r="F75" i="7" s="1"/>
  <c r="F48" i="8"/>
  <c r="F22" i="5"/>
  <c r="F85" i="7"/>
  <c r="G22" i="5"/>
  <c r="I3" i="5"/>
  <c r="I22" i="5" s="1"/>
  <c r="F56" i="7"/>
  <c r="F55" i="8"/>
  <c r="F54" i="8"/>
  <c r="F55" i="7"/>
  <c r="F87" i="7"/>
  <c r="F84" i="7"/>
  <c r="F52" i="7"/>
  <c r="F57" i="8"/>
  <c r="F51" i="7"/>
  <c r="F83" i="7"/>
  <c r="F58" i="8"/>
  <c r="F85" i="8"/>
  <c r="F53" i="8"/>
  <c r="F82" i="7"/>
  <c r="E42" i="9" l="1"/>
  <c r="F42" i="9"/>
  <c r="F54" i="7"/>
  <c r="F86" i="7"/>
  <c r="F53" i="7"/>
  <c r="F59" i="7" s="1"/>
  <c r="F76" i="7" s="1"/>
  <c r="F78" i="7" s="1"/>
  <c r="F58" i="7"/>
  <c r="F57" i="7"/>
  <c r="F75" i="8"/>
  <c r="F83" i="8"/>
  <c r="F56" i="8"/>
  <c r="F86" i="8"/>
  <c r="F84" i="8"/>
  <c r="F82" i="8"/>
  <c r="F87" i="8"/>
  <c r="F51" i="8"/>
  <c r="F59" i="8" s="1"/>
  <c r="F76" i="8" s="1"/>
  <c r="F78" i="8" s="1"/>
  <c r="F52" i="8"/>
  <c r="F88" i="7"/>
  <c r="F131" i="7" s="1"/>
  <c r="F130" i="8" l="1"/>
  <c r="F134" i="8" s="1"/>
  <c r="F96" i="8"/>
  <c r="F93" i="8"/>
  <c r="F95" i="8"/>
  <c r="F94" i="8"/>
  <c r="F99" i="8" s="1"/>
  <c r="F105" i="8" s="1"/>
  <c r="F107" i="8" s="1"/>
  <c r="F132" i="8" s="1"/>
  <c r="F98" i="8"/>
  <c r="F97" i="8"/>
  <c r="F130" i="7"/>
  <c r="F94" i="7"/>
  <c r="F99" i="7" s="1"/>
  <c r="F105" i="7" s="1"/>
  <c r="F107" i="7" s="1"/>
  <c r="F132" i="7" s="1"/>
  <c r="F134" i="7" s="1"/>
  <c r="F119" i="7" s="1"/>
  <c r="F95" i="7"/>
  <c r="F96" i="7"/>
  <c r="F98" i="7"/>
  <c r="F93" i="7"/>
  <c r="F97" i="7"/>
  <c r="F88" i="8"/>
  <c r="F131" i="8" s="1"/>
  <c r="F120" i="7" l="1"/>
  <c r="F122" i="7" s="1"/>
  <c r="F119" i="8"/>
  <c r="F123" i="7" l="1"/>
  <c r="F124" i="7"/>
  <c r="F120" i="8"/>
  <c r="F124" i="8" s="1"/>
  <c r="F125" i="7" l="1"/>
  <c r="F135" i="7" s="1"/>
  <c r="F136" i="7" s="1"/>
  <c r="B140" i="7" s="1"/>
  <c r="E140" i="7" s="1"/>
  <c r="D144" i="7" s="1"/>
  <c r="F123" i="8"/>
  <c r="F122" i="8"/>
  <c r="B144" i="7" l="1"/>
  <c r="F140" i="7"/>
  <c r="F125" i="8"/>
  <c r="F135" i="8" s="1"/>
  <c r="F136" i="8" s="1"/>
  <c r="B144" i="8" s="1"/>
  <c r="E144" i="7"/>
  <c r="F144" i="7" s="1"/>
  <c r="C36" i="9"/>
  <c r="B140" i="8" l="1"/>
  <c r="E140" i="8" s="1"/>
  <c r="D144" i="8" s="1"/>
  <c r="E36" i="9"/>
  <c r="F140" i="8" l="1"/>
  <c r="C37" i="9"/>
  <c r="E144" i="8"/>
  <c r="F144" i="8" s="1"/>
  <c r="F36" i="9"/>
  <c r="E37" i="9" l="1"/>
  <c r="F37" i="9" l="1"/>
  <c r="F38" i="9" s="1"/>
  <c r="D47" i="9" s="1"/>
  <c r="E38" i="9"/>
  <c r="A4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42" authorId="0" shapeId="0" xr:uid="{00000000-0006-0000-0800-000001000000}">
      <text>
        <r>
          <rPr>
            <sz val="10"/>
            <rFont val="Arial"/>
            <family val="2"/>
          </rPr>
          <t xml:space="preserve">O valor dos materiais foi dividido à razão da metade, em razão da existência de dois postos que atuarão no mesmo local e com atividades similares, qual seja, aquaviária.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I9" authorId="0" shapeId="0" xr:uid="{00000000-0006-0000-0300-000001000000}">
      <text>
        <r>
          <rPr>
            <sz val="10"/>
            <rFont val="Arial"/>
            <family val="2"/>
          </rPr>
          <t xml:space="preserve">Preço para compor a subplanilha de marinheiro
</t>
        </r>
      </text>
    </comment>
    <comment ref="I19" authorId="0" shapeId="0" xr:uid="{00000000-0006-0000-0300-000002000000}">
      <text>
        <r>
          <rPr>
            <sz val="10"/>
            <rFont val="Arial"/>
            <family val="2"/>
          </rPr>
          <t xml:space="preserve">Preço para compor a subplanilha de marinheiro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0600-000002000000}">
      <text>
        <r>
          <rPr>
            <sz val="10"/>
            <rFont val="Arial"/>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text>
    </comment>
    <comment ref="F34" authorId="0" shapeId="0" xr:uid="{00000000-0006-0000-0600-000006000000}">
      <text>
        <r>
          <rPr>
            <sz val="10"/>
            <rFont val="Arial"/>
            <family val="2"/>
          </rPr>
          <t xml:space="preserve">Base de cálculo do salário-base contido na:
- Convenção Coletiva de Trabalho 2023/2025
- Anexo ao Termo de Referência
TABELA GERAL DE REMUNERAÇÃO DE FLUVIÁRIOS
VIGÊNCIA: 01 DE SETEMBRO DE 2023 A 31 DE AGOSTO DE 2024
REAJUSTADA EM 5% (CINCO POR CENTO) SOBRE A REMUNERAÇÃO MENSAL VIGENTE EM 31 DE AGOSTO DE 2023
Tabela obtida no síto eletrônico do Sindicato das Empresas de Navegação Fluvial e Lacustre e das Agências de Navegação no Estado do Pará (Sindarpa).
Anexo ao Termo de Referência.
</t>
        </r>
      </text>
    </comment>
    <comment ref="F35" authorId="0" shapeId="0" xr:uid="{00000000-0006-0000-0600-000007000000}">
      <text>
        <r>
          <rPr>
            <sz val="10"/>
            <rFont val="Arial"/>
            <family val="2"/>
          </rPr>
          <t>Base de cálculo da Gratificação de Função:
TABELA GERAL DE REMUNERAÇÃO DE FLUVIÁRIOS
VIGÊNCIA: 01 DE SETEMBRO DE 2023 A 31 DE AGOSTO DE 2024
REAJUSTADA EM 5% (CINCO POR CENTO) SOBRE A REMUNERAÇÃO MENSAL VIGENTE EM 1º DE SETEMBRO DE 2023
Na tabeka geral de remuneração de fluviários, o cálculo informa que o percentual incidente sobre o salário-base (soldada-base) é de 20%.
Fórmula: Salário-Base x 20%
Por outro lado, na Convenção Coletiva de Trabalho vigente, informa que:
GRATIFICAÇÕES, ADICIONAIS, AUXÍLIOS E OUTROS
GRATIFICAÇÃO DE FUNÇÃO
CLÁUSULA NONA - GRATIFICAÇÃO DE COMANDO
O tripulante (Contramestre Fluvial, Marinheiro Fluvial de Convés ou Marinheiro Auxiliar Fluvial) que acumular afunção de comando a bordo de qualquer embarcação, perceberão, além da soldada-base, uma gratificação decomando estipulada em 25% (vinte e cinco por cento) da soldada-base da categoria superior com repercussãoem todas as demais vantagens trabalhistas: horas extras, adicional noturno, periculosidade/insalubridade, etapa,repouso remunerado, férias, 13º salário e depósitos do FGTS.
Por haver dubiedade nas informações, optou-se por aderir ao que está disposto na tabela geral de remunerações, por trazer de forma explícita e objetiva o percentual incidente sobre a soldada-base na gratificação em epígrafe.</t>
        </r>
      </text>
    </comment>
    <comment ref="F36" authorId="0" shapeId="0" xr:uid="{00000000-0006-0000-0600-000008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CONVENÇÃO COLETIVA DE TRABALHO 2023/2025
CLÁUSULA DÉCIMA QUARTA - PERICULOSIDADE E/OU INSALUBRIDADE
Os adicionais de periculosidade e/ou insalubridade serão pagos à razão de 30% da soldada-base e etapa, comrepercussão nas demais verbas trabalhistas, horas extras, adicional noturno, repouso remunerado, férias, 13ºsalário e depósito do FGTS.
NÚMERO DE REGISTRO NO MTE: PA001062/2023
DATA DE REGISTRO NO MTE: 18/12/2023
NÚMERO DA SOLICITAÇÃO: MR066510/2023
NÚMERO DO PROCESSO: 13620.201354/2023-19
DATA DO PROTOCOLO: 18/12/2023
O adicional de insalubridade é devido ao empregado que, para o desempenho do seu trabalho, tem de realizar atividade insalubre, ou seja, que implique em exposição a agentes nocivos à saúde, acima dos limites de tolerância considerados adequados.
</t>
        </r>
        <r>
          <rPr>
            <sz val="11"/>
            <color rgb="FF000000"/>
            <rFont val="Aptos Narrow"/>
            <family val="2"/>
            <charset val="1"/>
          </rPr>
          <t xml:space="preserve">
</t>
        </r>
      </text>
    </comment>
    <comment ref="F37" authorId="0" shapeId="0" xr:uid="{00000000-0006-0000-0600-000009000000}">
      <text>
        <r>
          <rPr>
            <sz val="10"/>
            <rFont val="Arial"/>
            <family val="2"/>
          </rPr>
          <t xml:space="preserve">Base de cálculo do Adicional de Horas Extras:
CONVENÇÃO COLETIVA DE TRABALHO 2023/2025
CLÁUSULA DÉCIMA PRIMEIRA - ADICIONAL DE HORAS-EXTRAS
NÚMERO DE REGISTRO NO MTE: PA001062/2023
DATA DE REGISTRO NO MTE: 18/12/2023
NÚMERO DA SOLICITAÇÃO: MR066510/2023
NÚMERO DO PROCESSO: 13620.201354/2023-19
DATA DO PROTOCOLO: 18/12/2023
O valor das horas extras informado na tabela geral de remuneração de fluviários foi de R$ R$ 1.844,29, ENQUANTO o cálculo realizado pela Comissão, segundo a fórmula a seguir, trouxe outro resultado:
=ARRED((((F34+F35+F36+F65)/188,57)*120) + ((((F34+F35+F36+F65)/188,57)*120)*0,5);2) = 1.909,57
Considerando prudente extrair os dados da tabela geral, optou-se por desconsiderar o cálculo realizado pela Comissão e adotar o valor expresso na tabela.
</t>
        </r>
      </text>
    </comment>
    <comment ref="F38" authorId="0" shapeId="0" xr:uid="{00000000-0006-0000-0600-00000A000000}">
      <text>
        <r>
          <rPr>
            <sz val="10"/>
            <rFont val="Arial"/>
            <family val="2"/>
          </rPr>
          <t xml:space="preserve">Base de cálculo do Adicional Noturno:
CONVENÇÃO COLETIVA DE TRABALHO 2023/2025
CLÁUSULA DÉCIMA TERCEIRA - ADICIONAL NOTURNO
NÚMERO DE REGISTRO NO MTE: PA001062/2023
DATA DE REGISTRO NO MTE: 18/12/2023
NÚMERO DA SOLICITAÇÃO: MR066510/2023
NÚMERO DO PROCESSO: 13620.201354/2023-19
DATA DO PROTOCOLO: 18/12/2023
</t>
        </r>
        <r>
          <rPr>
            <sz val="11"/>
            <color rgb="FF000000"/>
            <rFont val="Aptos Narrow"/>
            <family val="2"/>
            <charset val="1"/>
          </rPr>
          <t xml:space="preserve">
</t>
        </r>
        <r>
          <rPr>
            <b/>
            <sz val="9"/>
            <color rgb="FF000000"/>
            <rFont val="Segoe UI"/>
            <family val="2"/>
            <charset val="1"/>
          </rPr>
          <t>O valor do adicional noturno informado na tabela geral de remuneração de fluviários foi de R$ R$ 491,81, ENQUANTO o cálculo realizado pela Comissão, segundo a fórmula a seguir, trouxe outro resultado:
=TRUNCAR((((((F34+F35+F36+F65)/188,57)*0,2)*30)*8);2) = 509,22
Considerando prudente extrair os dados da tabela geral, optou-se por desconsiderar o cálculo realizado pela Comissão e adotar o valor expresso na tabela.</t>
        </r>
      </text>
    </comment>
    <comment ref="F39" authorId="0" shapeId="0" xr:uid="{00000000-0006-0000-0600-00000B000000}">
      <text>
        <r>
          <rPr>
            <sz val="10"/>
            <rFont val="Arial"/>
            <family val="2"/>
          </rPr>
          <t xml:space="preserve">Base de cálculo do Repouso Remunerado:
CONVENÇÃO COLETIVA DE TRABALHO 2023/2025
CLÁUSULA DÉCIMA QUINTA - REPOUSO REMUNERADO
NÚMERO DE REGISTRO NO MTE: PA001062/2023
DATA DE REGISTRO NO MTE: 18/12/2023
NÚMERO DA SOLICITAÇÃO: MR066510/2023
NÚMERO DO PROCESSO: 13620.201354/2023-19
DATA DO PROTOCOLO: 18/12/2023
O valor do repouso remunerado informado na tabela geral de remuneração de fluviários foi de R$ R$ 711,36, ENQUANTO o cálculo realizado pela Comissão, segundo a fórmula a seguir, trouxe outro resultado:
=TRUNCAR((((F34+F35+F36+F37+F38+F65)*5)/30);2) = 722,76
Considerando prudente extrair os dados da tabela geral, optou-se por desconsiderar o cálculo realizado pela Comissão e adotar o valor expresso na tabela.
</t>
        </r>
        <r>
          <rPr>
            <sz val="11"/>
            <color rgb="FF000000"/>
            <rFont val="Aptos Narrow"/>
            <family val="2"/>
            <charset val="1"/>
          </rPr>
          <t xml:space="preserve">
</t>
        </r>
      </text>
    </comment>
    <comment ref="F40" authorId="0" shapeId="0" xr:uid="{00000000-0006-0000-0600-00000C000000}">
      <text>
        <r>
          <rPr>
            <sz val="10"/>
            <rFont val="Arial"/>
            <family val="2"/>
          </rPr>
          <t xml:space="preserve">O valor de R$ 218,14 não integra a remuneração-base, uma vez que serviu apenas como base de cálculo para contabilizar outros subitens da remuneração. Ainda, a soldada-base não será usada como pagamento do vale-alimentação. O vale-alimentação usado será o do sindicato SEAC/SINELPA do estado do Pará que prevê o valor de R$ 26,53, por dia trabalhado.
</t>
        </r>
      </text>
    </comment>
    <comment ref="F46" authorId="0" shapeId="0" xr:uid="{00000000-0006-0000-0600-00000D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600-00000E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600-00000F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600-000010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600-000011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600-000012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600-000013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0600-000003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0600-000014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600-000015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600-000016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600-000017000000}">
      <text>
        <r>
          <rPr>
            <sz val="10"/>
            <rFont val="Arial"/>
            <family val="2"/>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 – (6% x Salário-Base)</t>
        </r>
      </text>
    </comment>
    <comment ref="F65" authorId="0" shapeId="0" xr:uid="{00000000-0006-0000-0600-000018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
- ((26,53 – (26,53 x 10%)) x 2). Valor diário da alimentação – 10% x 2 dias. 
- Referencial AUDIN, 4ª edição c/c CONVENÇÃO COLETIVA 2024/2025 SEAC/SINELPA - AUXÍLIO ALIMENTAÇÃO - CLÁUSULA DÉCIMA QUINTA - TICKET ALIMENTAÇÃO/ CARTÃO REFEIÇÃO
</t>
        </r>
      </text>
    </comment>
    <comment ref="F67" authorId="0" shapeId="0" xr:uid="{00000000-0006-0000-0600-000019000000}">
      <text>
        <r>
          <rPr>
            <sz val="10"/>
            <rFont val="Arial"/>
            <family val="2"/>
          </rPr>
          <t xml:space="preserve">Do Seguro de vida em Grupo, Auxílio Morte/Funeral e Assistência Médica e Familiar (Auxílio Doença/Invalidez)
À critério da licitante, os valores referentes aos seguintes auxílios poderão ser adicionados na célula F67.
- Referencial Técnico de Custos – Audin-MPU – 3ª Edição:
- MÓDULO 2 – ENCARGOS E BENEFÍCIOS ANUAIS, MENSAIS E DIÁRIOS;
- Submódulo 2.3 – Benefícios Mensais e Diários
- Alínea 2.3.C.
- Instrução Normativa SEGES/MPDG nº 5/2017
CONVENÇÃO COLETIVA DE TRABALHO 2023/2025
NÚMERO DE REGISTRO NO MTE: PA001062/2023
CLÁUSULA DÉCIMA NONA - OUTROS AUXÍLIOS:
- AUXÍLIO DOENÇA/INVALIDEZ
Em caso de hospitalização do tripulante fora do seu domicílio, o armador ou empresa arcarão com os custosmédicos hospitalares, bem como o pagamento dos salários e vantagens dos dias de doença até a transferência elegalização junto ao INSS. Em caso de doença ou acidente diagnosticado como grave ou gravíssimo, se não forpossível a sua transferência para o seu domicilio, o armador ou empresa fornecerá estadia, limitada ao valor deduas (02) soldadas base, pelo período que for internado e passagens pelo meio mais rápido a um (01)membro da família do tripulante, a fim de lhe fazer companhia até o dia da liberação médica.
CLÁUSULA VIGÉSIMA SÉTIMA - SEGURO EM GRUPO:
As empresas de navegação fluvial e lacustre devem manter as suas expensas, seguro em grupo para os seusempregados fluviários, cobrindo os riscos por morte acidental, natural ou invalidez permanente, decorrente deacidente ou não, sendo que a indenização estipulada no contrato celebrado não poderá ser inferior a quarenta ecinco (45) soldadas-base percebidas pelos tripulantes acima mencionados, vigente no mês do pagamento pelaseguradora, quando de sua morte ou acidente que venha a deixar os mesmos inválidos. Não efetuando oempregador o seguro de que trata esta cláusula ficará obrigado a indenizar os dependentes do tripulante, no casode morte ou invalidez, no valor acima estipulado e devidamente atualizado na forma da lei.
PARÁGRAFO ÚNICO
O empregador terá a opção de não contratar o seguro, neste caso, ficará obrigado a indenizar o tripulante oudependentes, conforme previsto no caput desta cláusula, como se segurado estivesse, não sendo caracterizado odescumprimento convencional, desde que quitado até 30 dias após o prazo do evento MORTE ou INVALIDEZ declarado pelo órgão oficial.
CLÁUSULA VIGÉSIMA - TRASLADO DO CORPO DO TRIPULANTE:
O empregador ficará obrigado a transladar o corpo do tripulante falecido em viagem, para a cidade onde residir suafamília à época do falecimento.
</t>
        </r>
        <r>
          <rPr>
            <sz val="9"/>
            <color rgb="FF000000"/>
            <rFont val="Segoe UI"/>
            <family val="2"/>
            <charset val="1"/>
          </rPr>
          <t xml:space="preserve">
</t>
        </r>
      </text>
    </comment>
    <comment ref="F69" authorId="0" shapeId="0" xr:uid="{00000000-0006-0000-0600-00001A000000}">
      <text>
        <r>
          <rPr>
            <sz val="10"/>
            <rFont val="Arial"/>
            <family val="2"/>
          </rPr>
          <t xml:space="preserve">- MÓDULO 2 – ENCARGOS E BENEFÍCIOS ANUAIS, MENSAIS E DIÁRIOS;
- Submódulo 2.3 – Benefícios Mensais e Diários
- Alínea 2.3.D.
- Instrução Normativa SEGES/MPDG nº 5/2017
CONVENÇÃO COLETIVA DE TRABALHO 2023/2025
NÚMERO DE REGISTRO NO MTE: PA001062/2023
</t>
        </r>
      </text>
    </comment>
    <comment ref="F71" authorId="0" shapeId="0" xr:uid="{00000000-0006-0000-0600-00001B000000}">
      <text>
        <r>
          <rPr>
            <sz val="10"/>
            <rFont val="Arial"/>
            <family val="2"/>
          </rPr>
          <t xml:space="preserve">Dos demais auxílios (Outros):
À critério da licitante, os valores referentes aos seguintes auxílios poderão ser adicionados na célula F70.
Os auxílios são aqueles compostos na CONVENÇÃO COLETIVA DE TRABALHO 2023/2025 registrada no Ministério do Trabalho e Emprego sob o número: PA001062/2023
CLÁUSULA VIGÉSIMA PRIMEIRA - AUXÍLIO REGRESSO:
- OUTROS AUXÍLIOS
Os tripulantes, quando contratados por viagem, terão direito, além da soldada correspondente, passagem deregresso ao seu domicílio de origem, hospedagem e ajuda de custo de 70% (setenta por cento) sobre aremuneração percebida, salvo se dispensados por justa causa, ou manifestarem expressamente vontade depermanecer no porto e/ou localidade onde se encontrarem.
CLÁUSULA VIGÉSIMA SEGUNDA:
- AUXÍLIO POR SINISTRO A BORDO
Na hipótese de sinistro a bordo devidamente comprovado através de inquérito pela autoridade naval que resulte na perda total de objetos de uso pessoal e uniforme do tripulante, ser-lhe-á assegurada uma indenização por tal perda,correspondente a 08 (oito) soldadas-base, ficando-lhe assegurada ainda, a indenização de qualquer outro objeto, desde que declarado antes da viagem, junto ao escritório do Armador, salvo quando o tripulante for culpado pelosinistro.
</t>
        </r>
      </text>
    </comment>
    <comment ref="F82" authorId="0" shapeId="0" xr:uid="{00000000-0006-0000-0600-00001C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600-00001D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600-00001E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600-000004000000}">
      <text>
        <r>
          <rPr>
            <sz val="10"/>
            <rFont val="Arial"/>
            <family val="2"/>
          </rPr>
          <t xml:space="preserve">[(56,24%) x 94,45% x (7/30) /12] x 100 = 1,03%
</t>
        </r>
      </text>
    </comment>
    <comment ref="F85" authorId="0" shapeId="0" xr:uid="{00000000-0006-0000-0600-00001F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600-000020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600-000021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600-000005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600-000022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600-000023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600-000024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600-000025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600-000026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600-000027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600-000028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0600-000029000000}">
      <text>
        <r>
          <rPr>
            <sz val="10"/>
            <rFont val="Arial"/>
            <family val="2"/>
          </rPr>
          <t>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t>
        </r>
      </text>
    </comment>
    <comment ref="F112" authorId="0" shapeId="0" xr:uid="{00000000-0006-0000-0600-00002A000000}">
      <text>
        <r>
          <rPr>
            <sz val="10"/>
            <rFont val="Arial"/>
            <family val="2"/>
          </rPr>
          <t xml:space="preserve">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Optou-se, nesta licitação, por não incluir a reposição de material periodicamente, pois não há registro de consumo e por ser a opção que trará mais economia ao órgão.
</t>
        </r>
      </text>
    </comment>
    <comment ref="F113" authorId="0" shapeId="0" xr:uid="{00000000-0006-0000-0600-00002B000000}">
      <text>
        <r>
          <rPr>
            <sz val="10"/>
            <rFont val="Arial"/>
            <family val="2"/>
          </rPr>
          <t>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NOTA: NÃO HOUVE AQUISIÇÃO/SOLICITAÇÃO DE MATERIAL PERMANENTE.</t>
        </r>
      </text>
    </comment>
    <comment ref="F114" authorId="0" shapeId="0" xr:uid="{00000000-0006-0000-0600-00002C000000}">
      <text>
        <r>
          <rPr>
            <sz val="10"/>
            <rFont val="Arial"/>
            <family val="2"/>
          </rPr>
          <t xml:space="preserve">O valor do equipament de proteção da subplanilha EPIs foi divida à razão da metade, em razão da demanda anual do posto.
</t>
        </r>
      </text>
    </comment>
    <comment ref="A117" authorId="0" shapeId="0" xr:uid="{00000000-0006-0000-06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600-00002D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600-00002E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600-00002F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600-000030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600-000031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0700-000003000000}">
      <text>
        <r>
          <rPr>
            <sz val="10"/>
            <rFont val="Arial"/>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text>
    </comment>
    <comment ref="F34" authorId="0" shapeId="0" xr:uid="{00000000-0006-0000-0700-000007000000}">
      <text>
        <r>
          <rPr>
            <sz val="10"/>
            <rFont val="Arial"/>
            <family val="2"/>
          </rPr>
          <t xml:space="preserve">Base de cálculo do salário-base contido na:
- Convenção Coletiva de Trabalho 2023/2025
- Anexo ao Termo de Referência
TABELA GERAL DE REMUNERAÇÃO DE FLUVIÁRIOS
VIGÊNCIA: 01 DE SETEMBRO DE 2023 A 31 DE AGOSTO DE 2024
REAJUSTADA EM 5% (CINCO POR CENTO) SOBRE A REMUNERAÇÃO MENSAL VIGENTE EM 31 DE AGOSTO DE 2023
Tabela obtida no síto eletrônico do Sindicato das Empresas de Navegação Fluvial e Lacustre e das Agências de Navegação no Estado do Pará (Sindarpa).
Anexo ao Termo de Referência.
</t>
        </r>
      </text>
    </comment>
    <comment ref="F35" authorId="0" shapeId="0" xr:uid="{00000000-0006-0000-0700-000008000000}">
      <text>
        <r>
          <rPr>
            <sz val="10"/>
            <rFont val="Arial"/>
            <family val="2"/>
          </rPr>
          <t>Base de cálculo da Gratificação de Função:
TABELA GERAL DE REMUNERAÇÃO DE FLUVIÁRIOS
VIGÊNCIA: 01 DE SETEMBRO DE 2023 A 31 DE AGOSTO DE 2024
REAJUSTADA EM 5% (CINCO POR CENTO) SOBRE A REMUNERAÇÃO MENSAL VIGENTE EM 1º DE SETEMBRO DE 2023
Na tabeka geral de remuneração de fluviários, o cálculo informa que o percentual incidente sobre o salário-base (soldada-base) é de 20%.
Fórmula: Salário-Base x 20%
Por outro lado, na Convenção Coletiva de Trabalho vigente, informa que:
GRATIFICAÇÕES, ADICIONAIS, AUXÍLIOS E OUTROS
GRATIFICAÇÃO DE FUNÇÃO
CLÁUSULA NONA - GRATIFICAÇÃO DE COMANDO
O tripulante (Contramestre Fluvial, Marinheiro Fluvial de Convés ou Marinheiro Auxiliar Fluvial) que acumular afunção de comando a bordo de qualquer embarcação, perceberão, além da soldada-base, uma gratificação decomando estipulada em 25% (vinte e cinco por cento) da soldada-base da categoria superior com repercussãoem todas as demais vantagens trabalhistas: horas extras, adicional noturno, periculosidade/insalubridade, etapa,repouso remunerado, férias, 13º salário e depósitos do FGTS.
Por haver dubiedade nas informações, optou-se por aderir ao que está disposto na tabela geral de remunerações, por trazer de forma explícita e objetiva o percentual incidente sobre a soldada-base na gratificação em epígrafe.</t>
        </r>
      </text>
    </comment>
    <comment ref="F36" authorId="0" shapeId="0" xr:uid="{00000000-0006-0000-0700-000009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CONVENÇÃO COLETIVA DE TRABALHO 2023/2025
CLÁUSULA DÉCIMA QUARTA - PERICULOSIDADE E/OU INSALUBRIDADE
Os adicionais de periculosidade e/ou insalubridade serão pagos à razão de 30% da soldada-base e etapa, comrepercussão nas demais verbas trabalhistas, horas extras, adicional noturno, repouso remunerado, férias, 13ºsalário e depósito do FGTS.
NÚMERO DE REGISTRO NO MTE: PA001062/2023
DATA DE REGISTRO NO MTE: 18/12/2023
NÚMERO DA SOLICITAÇÃO: MR066510/2023
NÚMERO DO PROCESSO: 13620.201354/2023-19
DATA DO PROTOCOLO: 18/12/2023
O adicional de insalubridade é devido ao empregado que, para o desempenho do seu trabalho, tem de realizar atividade insalubre, ou seja, que implique em exposição a agentes nocivos à saúde, acima dos limites de tolerância considerados adequados.
Por haver dubiedade entre o valor calculado pela Comissão e o valor informado na tabela, optou-se pela inclusão do valor referenciado na tabela geral de remuneração de fluviários.
=TRUNCAR(((F34+F65)*0,3);2) = R$ 515,56
</t>
        </r>
        <r>
          <rPr>
            <sz val="11"/>
            <color rgb="FF000000"/>
            <rFont val="Aptos Narrow"/>
            <family val="2"/>
            <charset val="1"/>
          </rPr>
          <t xml:space="preserve">
</t>
        </r>
      </text>
    </comment>
    <comment ref="F37" authorId="0" shapeId="0" xr:uid="{00000000-0006-0000-0700-00000A000000}">
      <text>
        <r>
          <rPr>
            <sz val="10"/>
            <rFont val="Arial"/>
            <family val="2"/>
          </rPr>
          <t xml:space="preserve">Base de cálculo do Adicional de Horas Extras:
CONVENÇÃO COLETIVA DE TRABALHO 2023/2025
CLÁUSULA DÉCIMA PRIMEIRA - ADICIONAL DE HORAS-EXTRAS
NÚMERO DE REGISTRO NO MTE: PA001062/2023
DATA DE REGISTRO NO MTE: 18/12/2023
NÚMERO DA SOLICITAÇÃO: MR066510/2023
NÚMERO DO PROCESSO: 13620.201354/2023-19
DATA DO PROTOCOLO: 18/12/2023
</t>
        </r>
        <r>
          <rPr>
            <sz val="9"/>
            <color rgb="FF000000"/>
            <rFont val="Times New Roman"/>
            <family val="1"/>
            <charset val="1"/>
          </rPr>
          <t xml:space="preserve">
</t>
        </r>
        <r>
          <rPr>
            <b/>
            <sz val="9"/>
            <color rgb="FF000000"/>
            <rFont val="Times New Roman"/>
            <family val="1"/>
            <charset val="1"/>
          </rPr>
          <t xml:space="preserve">
Optou-se por adotar o valor expresso na tabela.</t>
        </r>
      </text>
    </comment>
    <comment ref="F38" authorId="0" shapeId="0" xr:uid="{00000000-0006-0000-0700-00000B000000}">
      <text>
        <r>
          <rPr>
            <sz val="10"/>
            <rFont val="Arial"/>
            <family val="2"/>
          </rPr>
          <t xml:space="preserve">Base de cálculo do Adicional Noturno:
CONVENÇÃO COLETIVA DE TRABALHO 2023/2025
CLÁUSULA DÉCIMA TERCEIRA - ADICIONAL NOTURNO
NÚMERO DE REGISTRO NO MTE: PA001062/2023
DATA DE REGISTRO NO MTE: 18/12/2023
NÚMERO DA SOLICITAÇÃO: MR066510/2023
NÚMERO DO PROCESSO: 13620.201354/2023-19
DATA DO PROTOCOLO: 18/12/2023
</t>
        </r>
        <r>
          <rPr>
            <sz val="9"/>
            <color rgb="FF000000"/>
            <rFont val="Times New Roman"/>
            <family val="1"/>
            <charset val="1"/>
          </rPr>
          <t xml:space="preserve">
</t>
        </r>
        <r>
          <rPr>
            <b/>
            <sz val="9"/>
            <color rgb="FF000000"/>
            <rFont val="Times New Roman"/>
            <family val="1"/>
            <charset val="1"/>
          </rPr>
          <t>=ARRED((((((F34+F35+F36+F65)/188,57)*0,2)*30)*8);2)
Optou-se por adotar o valor expresso na tabela.</t>
        </r>
      </text>
    </comment>
    <comment ref="F39" authorId="0" shapeId="0" xr:uid="{00000000-0006-0000-0700-00000C000000}">
      <text>
        <r>
          <rPr>
            <sz val="10"/>
            <rFont val="Arial"/>
            <family val="2"/>
          </rPr>
          <t xml:space="preserve">Base de cálculo do Repouso Remunerado:
CONVENÇÃO COLETIVA DE TRABALHO 2023/2025
CLÁUSULA DÉCIMA QUINTA - REPOUSO REMUNERADO
NÚMERO DE REGISTRO NO MTE: PA001062/2023
DATA DE REGISTRO NO MTE: 18/12/2023
NÚMERO DA SOLICITAÇÃO: MR066510/2023
NÚMERO DO PROCESSO: 13620.201354/2023-19
DATA DO PROTOCOLO: 18/12/2023
</t>
        </r>
        <r>
          <rPr>
            <sz val="9"/>
            <color rgb="FF000000"/>
            <rFont val="Times New Roman"/>
            <family val="1"/>
            <charset val="1"/>
          </rPr>
          <t xml:space="preserve">
</t>
        </r>
        <r>
          <rPr>
            <b/>
            <sz val="9"/>
            <color rgb="FF000000"/>
            <rFont val="Times New Roman"/>
            <family val="1"/>
            <charset val="1"/>
          </rPr>
          <t>=TRUNCAR((((F34+F35+F36+F37+F38+F65)*5)/30);2)
Optou-se por adotar o valor expresso na tabela.</t>
        </r>
      </text>
    </comment>
    <comment ref="F40" authorId="0" shapeId="0" xr:uid="{00000000-0006-0000-0700-00000D000000}">
      <text>
        <r>
          <rPr>
            <sz val="10"/>
            <rFont val="Arial"/>
            <family val="2"/>
          </rPr>
          <t xml:space="preserve">O valor de R$ 218,14 não integra a remuneração-base, uma vez que serviu apenas como base de cálculo para contabilizar outros subitens da remuneração. Ainda, a soldada-base não será usada como pagamento do vale-alimentação. O vale-alimentação usado será o do sindicato SEAC/SINELPA do estado do Pará que prevê o valor de R$ 26,53, por dia trabalhado.
</t>
        </r>
      </text>
    </comment>
    <comment ref="F46" authorId="0" shapeId="0" xr:uid="{00000000-0006-0000-0700-00000E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700-00000F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700-000010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700-000011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700-000012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700-000013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700-000014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0700-000004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0700-000015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700-000016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700-000017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700-000018000000}">
      <text>
        <r>
          <rPr>
            <sz val="10"/>
            <rFont val="Arial"/>
            <family val="2"/>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1 – (6% x Salário-Base)</t>
        </r>
      </text>
    </comment>
    <comment ref="F65" authorId="0" shapeId="0" xr:uid="{00000000-0006-0000-0700-000019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1
- ((26,53 – (26,53 x 10%)) x 1). Valor diário da alimentação – 10% x 1 dia. 
- Referencial AUDIN, 4ª edição c/c CONVENÇÃO COLETIVA 2024/2025 SEAC/SINELPA - AUXÍLIO ALIMENTAÇÃO - CLÁUSULA DÉCIMA QUINTA - TICKET ALIMENTAÇÃO/ CARTÃO REFEIÇÃO
</t>
        </r>
      </text>
    </comment>
    <comment ref="F67" authorId="0" shapeId="0" xr:uid="{00000000-0006-0000-0700-00001A000000}">
      <text>
        <r>
          <rPr>
            <sz val="10"/>
            <rFont val="Arial"/>
            <family val="2"/>
          </rPr>
          <t xml:space="preserve">Do Seguro de vida em Grupo, Auxílio Morte/Funeral e Assistência Médica e Familiar (Auxílio Doença/Invalidez)
À critério da licitante, os valores referentes aos seguintes auxílios poderão ser adicionados na célula F67.
- Referencial Técnico de Custos – Audin-MPU – 4ª Edição:
- MÓDULO 2 – ENCARGOS E BENEFÍCIOS ANUAIS, MENSAIS E DIÁRIOS;
- Submódulo 2.3 – Benefícios Mensais e Diários
- Alínea 2.3.C.
- Instrução Normativa SEGES/MPDG nº 5/2017
CONVENÇÃO COLETIVA DE TRABALHO 2023/2025
NÚMERO DE REGISTRO NO MTE: PA001062/2023
CLÁUSULA DÉCIMA NONA - OUTROS AUXÍLIOS:
- AUXÍLIO DOENÇA/INVALIDEZ
Em caso de hospitalização do tripulante fora do seu domicílio, o armador ou empresa arcarão com os custosmédicos hospitalares, bem como o pagamento dos salários e vantagens dos dias de doença até a transferência elegalização junto ao INSS. Em caso de doença ou acidente diagnosticado como grave ou gravíssimo, se não forpossível a sua transferência para o seu domicilio, o armador ou empresa fornecerá estadia, limitada ao valor deduas (02) soldadas base, pelo período que for internado e passagens pelo meio mais rápido a um (01)membro da família do tripulante, a fim de lhe fazer companhia até o dia da liberação médica.
CLÁUSULA VIGÉSIMA SÉTIMA - SEGURO EM GRUPO:
As empresas de navegação fluvial e lacustre devem manter as suas expensas, seguro em grupo para os seusempregados fluviários, cobrindo os riscos por morte acidental, natural ou invalidez permanente, decorrente deacidente ou não, sendo que a indenização estipulada no contrato celebrado não poderá ser inferior a quarenta ecinco (45) soldadas-base percebidas pelos tripulantes acima mencionados, vigente no mês do pagamento pelaseguradora, quando de sua morte ou acidente que venha a deixar os mesmos inválidos. Não efetuando oempregador o seguro de que trata esta cláusula ficará obrigado a indenizar os dependentes do tripulante, no casode morte ou invalidez, no valor acima estipulado e devidamente atualizado na forma da lei.
PARÁGRAFO ÚNICO
O empregador terá a opção de não contratar o seguro, neste caso, ficará obrigado a indenizar o tripulante oudependentes, conforme previsto no caput desta cláusula, como se segurado estivesse, não sendo caracterizado odescumprimento convencional, desde que quitado até 30 dias após o prazo do evento MORTE ou INVALIDEZ declarado pelo órgão oficial.
CLÁUSULA VIGÉSIMA - TRASLADO DO CORPO DO TRIPULANTE:
O empregador ficará obrigado a transladar o corpo do tripulante falecido em viagem, para a cidade onde residir suafamília à época do falecimento.
</t>
        </r>
        <r>
          <rPr>
            <sz val="9"/>
            <color rgb="FF000000"/>
            <rFont val="Segoe UI"/>
            <family val="2"/>
            <charset val="1"/>
          </rPr>
          <t xml:space="preserve">
</t>
        </r>
      </text>
    </comment>
    <comment ref="F69" authorId="0" shapeId="0" xr:uid="{00000000-0006-0000-0700-00001B000000}">
      <text>
        <r>
          <rPr>
            <sz val="10"/>
            <rFont val="Arial"/>
            <family val="2"/>
          </rPr>
          <t xml:space="preserve">- MÓDULO 2 – ENCARGOS E BENEFÍCIOS ANUAIS, MENSAIS E DIÁRIOS;
- Submódulo 2.3 – Benefícios Mensais e Diários
- Alínea 2.3.D.
- Instrução Normativa SEGES/MPDG nº 5/2017
CONVENÇÃO COLETIVA DE TRABALHO 2023/2025
NÚMERO DE REGISTRO NO MTE: PA001062/2023
</t>
        </r>
      </text>
    </comment>
    <comment ref="F71" authorId="0" shapeId="0" xr:uid="{00000000-0006-0000-0700-00001C000000}">
      <text>
        <r>
          <rPr>
            <sz val="10"/>
            <rFont val="Arial"/>
            <family val="2"/>
          </rPr>
          <t xml:space="preserve">Dos demais auxílios (Outros):
À critério da licitante, os valores referentes aos seguintes auxílios poderão ser adicionados na célula F70.
Os auxílios são aqueles compostos na CONVENÇÃO COLETIVA DE TRABALHO 2023/2025 registrada no Ministério do Trabalho e Emprego sob o número: PA001062/2023
CLÁUSULA VIGÉSIMA PRIMEIRA - AUXÍLIO REGRESSO:
- OUTROS AUXÍLIOS
Os tripulantes, quando contratados por viagem, terão direito, além da soldada correspondente, passagem deregresso ao seu domicílio de origem, hospedagem e ajuda de custo de 70% (setenta por cento) sobre aremuneração percebida, salvo se dispensados por justa causa, ou manifestarem expressamente vontade depermanecer no porto e/ou localidade onde se encontrarem.
CLÁUSULA VIGÉSIMA SEGUNDA:
- AUXÍLIO POR SINISTRO A BORDO
Na hipótese de sinistro a bordo devidamente comprovado através de inquérito pela autoridade naval que resulte na perda total de objetos de uso pessoal e uniforme do tripulante, ser-lhe-á assegurada uma indenização por tal perda,correspondente a 08 (oito) soldadas-base, ficando-lhe assegurada ainda, a indenização de qualquer outro objeto, desde que declarado antes da viagem, junto ao escritório do Armador, salvo quando o tripulante for culpado pelosinistro.
</t>
        </r>
      </text>
    </comment>
    <comment ref="A80" authorId="0" shapeId="0" xr:uid="{00000000-0006-0000-0700-000001000000}">
      <text>
        <r>
          <rPr>
            <sz val="10"/>
            <rFont val="Arial"/>
            <family val="2"/>
          </rPr>
          <t xml:space="preserve">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
</t>
        </r>
      </text>
    </comment>
    <comment ref="F82" authorId="0" shapeId="0" xr:uid="{00000000-0006-0000-0700-00001D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700-00001E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700-00001F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700-000005000000}">
      <text>
        <r>
          <rPr>
            <sz val="10"/>
            <rFont val="Arial"/>
            <family val="2"/>
          </rPr>
          <t xml:space="preserve">[(56,24%) x 94,45% x (7/30) /12] x 100 = 1,03%
</t>
        </r>
      </text>
    </comment>
    <comment ref="F85" authorId="0" shapeId="0" xr:uid="{00000000-0006-0000-0700-000020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700-000021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700-000022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700-000006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700-000023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700-000024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700-000025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700-000026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700-000027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700-000028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700-000029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0700-00002A000000}">
      <text>
        <r>
          <rPr>
            <sz val="10"/>
            <rFont val="Arial"/>
            <family val="2"/>
          </rPr>
          <t>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t>
        </r>
      </text>
    </comment>
    <comment ref="F112" authorId="0" shapeId="0" xr:uid="{00000000-0006-0000-0700-00002B000000}">
      <text>
        <r>
          <rPr>
            <sz val="10"/>
            <rFont val="Arial"/>
            <family val="2"/>
          </rPr>
          <t xml:space="preserve">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Optou-se, nesta licitação, por não incluir a reposição de material periodicamente, pois não há registro de consumo e por ser a opção que trará mais economia ao órgão.
</t>
        </r>
      </text>
    </comment>
    <comment ref="F113" authorId="0" shapeId="0" xr:uid="{00000000-0006-0000-0700-00002C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Material Permanente - MP.
</t>
        </r>
        <r>
          <rPr>
            <sz val="9"/>
            <color rgb="FF000000"/>
            <rFont val="Segoe UI"/>
            <family val="2"/>
            <charset val="1"/>
          </rPr>
          <t xml:space="preserve">
</t>
        </r>
      </text>
    </comment>
    <comment ref="F114" authorId="0" shapeId="0" xr:uid="{00000000-0006-0000-0700-00002D000000}">
      <text>
        <r>
          <rPr>
            <sz val="10"/>
            <rFont val="Arial"/>
            <family val="2"/>
          </rPr>
          <t xml:space="preserve">O valor do equipament de proteção da subplanilha EPIs foi divida à razão da metade, em razão da demanda anual do posto.
</t>
        </r>
      </text>
    </comment>
    <comment ref="A117" authorId="0" shapeId="0" xr:uid="{00000000-0006-0000-0700-000002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700-00002E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700-00002F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700-000030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700-000031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700-000032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sharedStrings.xml><?xml version="1.0" encoding="utf-8"?>
<sst xmlns="http://schemas.openxmlformats.org/spreadsheetml/2006/main" count="720" uniqueCount="347">
  <si>
    <t>NOMENCLATURA DAS PLANILHAS</t>
  </si>
  <si>
    <t>Item</t>
  </si>
  <si>
    <t>Sigla</t>
  </si>
  <si>
    <t>Nome</t>
  </si>
  <si>
    <t>NP</t>
  </si>
  <si>
    <t>Nomenclatura das Planilhas</t>
  </si>
  <si>
    <t>PC</t>
  </si>
  <si>
    <t>Postos a Serem contratados</t>
  </si>
  <si>
    <t>Salários.VA.VT.QteDias.LDI.T</t>
  </si>
  <si>
    <t>Referências de salários - Conforme CCTs + Vale-Alimentação + Vale-Transporte + Quantidade de Dias de VA e VT + LDI + Tributos</t>
  </si>
  <si>
    <t>Unif</t>
  </si>
  <si>
    <t>Uniformes</t>
  </si>
  <si>
    <t>Materiais + MLPH</t>
  </si>
  <si>
    <t>Materiais Diversos e Materais de Limpeza e Produtos de Higienização</t>
  </si>
  <si>
    <t xml:space="preserve">EPIs </t>
  </si>
  <si>
    <t>Equipamentos de Proteção e Segurança</t>
  </si>
  <si>
    <t>Marinheiro</t>
  </si>
  <si>
    <t>Planilha do Posto de Marinheiro</t>
  </si>
  <si>
    <t>Piloto de Embarcações</t>
  </si>
  <si>
    <t>Planilha do Piloto de Embarcações</t>
  </si>
  <si>
    <t>Proposta de Preços</t>
  </si>
  <si>
    <t>Proposta de Preços do Piloto de Embarcações e do Marinheiro - Inclusão de gastos</t>
  </si>
  <si>
    <t>POSTOS</t>
  </si>
  <si>
    <t>CONVENÇÃO COLETIVA / SALÁRIO NORMATIVO VIGENTE PARA CONTRATAÇÃO E/OU REPACTUAÇÃO DE PREÇOS</t>
  </si>
  <si>
    <t>Postos</t>
  </si>
  <si>
    <t>Piloto Fluvial</t>
  </si>
  <si>
    <t>Convenção Coletiva</t>
  </si>
  <si>
    <t>2024/2025</t>
  </si>
  <si>
    <t>2026/2027</t>
  </si>
  <si>
    <t>2027/2028</t>
  </si>
  <si>
    <t>2028/2029</t>
  </si>
  <si>
    <t>2029/2030</t>
  </si>
  <si>
    <t>2030/2031</t>
  </si>
  <si>
    <t>2031/2032</t>
  </si>
  <si>
    <t>2032/2033</t>
  </si>
  <si>
    <t>2033/2034</t>
  </si>
  <si>
    <t>2034/2035</t>
  </si>
  <si>
    <t>PERÍODO</t>
  </si>
  <si>
    <t>VALE-ALIMENTAÇÃO</t>
  </si>
  <si>
    <t>VALE-TRANSPORTE</t>
  </si>
  <si>
    <t>Contratação</t>
  </si>
  <si>
    <t>Alteração</t>
  </si>
  <si>
    <t>UNIDADE</t>
  </si>
  <si>
    <t>QUANTIDADE DE DIAS -MARINHEIRO</t>
  </si>
  <si>
    <t>QUANTIDADE DE DIAS - PILOTO DE EMBARCAÇÕES</t>
  </si>
  <si>
    <t>Lucro e Despesas Indiretas - LDI</t>
  </si>
  <si>
    <t>Custos Indiretos</t>
  </si>
  <si>
    <t xml:space="preserve">Lucro </t>
  </si>
  <si>
    <t>Total</t>
  </si>
  <si>
    <t>Tributação Sobre Faturamento - T - Lucro Presumido</t>
  </si>
  <si>
    <t>PIS</t>
  </si>
  <si>
    <t>COFIN</t>
  </si>
  <si>
    <t>ISS</t>
  </si>
  <si>
    <t>UNIFORMES, TECIDOS E AVIAMENTOS – 3.3.90.30.23</t>
  </si>
  <si>
    <t>Piloto de Embarcação e Marinheiro - Unisex</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</si>
  <si>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</si>
  <si>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</si>
  <si>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</si>
  <si>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</si>
  <si>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</si>
  <si>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</si>
  <si>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</si>
  <si>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</si>
  <si>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Camisetas de manga longa com proteção Ultra Violeta, tecido de malha fria, na cor azul escura, com a logomarca da empresa </t>
  </si>
  <si>
    <t>Calças compridas, de tecido Rip Stop ou com  resistência equivalente, com bolsos laterais, cor caqui;</t>
  </si>
  <si>
    <t>Boné, tipo pescador com proteção no pescoço contra a ação de raios solares, de brim ou tecido com resistência equivalente, recomendáveis cores claras;</t>
  </si>
  <si>
    <t xml:space="preserve">Bota de segurança de cano curto, impermeável,  solado emborrachado, cor preta; 
</t>
  </si>
  <si>
    <t xml:space="preserve">Par de meias brancas longas, em algodão; </t>
  </si>
  <si>
    <t>MATERIAIS DIVERSOS – 3.3.90.30 – SOB DEMANDA</t>
  </si>
  <si>
    <t>Objeto</t>
  </si>
  <si>
    <t>Unidade de Medida</t>
  </si>
  <si>
    <t>Valor Nominal por unidade</t>
  </si>
  <si>
    <t>LDI</t>
  </si>
  <si>
    <t>T</t>
  </si>
  <si>
    <t>Valor Máximo  Aceito por Unidade</t>
  </si>
  <si>
    <t>Quantidade Anual</t>
  </si>
  <si>
    <t>Valor Total Estimado Anual</t>
  </si>
  <si>
    <t>Água Sanitária</t>
  </si>
  <si>
    <t xml:space="preserve">Frasco de 01 litro </t>
  </si>
  <si>
    <t>Álcool 70%</t>
  </si>
  <si>
    <t xml:space="preserve">Aromatizador/Desodorizador - Aerossol </t>
  </si>
  <si>
    <t>Frasco de 432 ml</t>
  </si>
  <si>
    <t>Cera Líquida Náutica</t>
  </si>
  <si>
    <t>Frasco de 500 ml</t>
  </si>
  <si>
    <t>Desinfetante</t>
  </si>
  <si>
    <t>Frasco de 01 litro</t>
  </si>
  <si>
    <t>Flanelas</t>
  </si>
  <si>
    <t>Unidade</t>
  </si>
  <si>
    <t>Graxa Para Rolamentos</t>
  </si>
  <si>
    <t>Pote de 500g</t>
  </si>
  <si>
    <t>Hidratante Para Estofado De Couro Náutico</t>
  </si>
  <si>
    <t>Frasco 250 ml</t>
  </si>
  <si>
    <t>Limpa Vidros</t>
  </si>
  <si>
    <t>Líquido Lubrificante E Desingripante - Wd40</t>
  </si>
  <si>
    <t>Frasco de 300 ml</t>
  </si>
  <si>
    <t>Pano De Chão</t>
  </si>
  <si>
    <t>Papel Toalha/Cozinha</t>
  </si>
  <si>
    <t>Pacote com 02 unidade</t>
  </si>
  <si>
    <t>Pedra Antimofo</t>
  </si>
  <si>
    <t>Caixa com 02 unidades</t>
  </si>
  <si>
    <t>Removedor De Manchas</t>
  </si>
  <si>
    <t>Sabão Em Pó</t>
  </si>
  <si>
    <t xml:space="preserve">Pacote 400 g </t>
  </si>
  <si>
    <t>Sabão Líquido Neutro</t>
  </si>
  <si>
    <t>Frasco 500 ml</t>
  </si>
  <si>
    <t>Saco De Lixo - 100 Litros</t>
  </si>
  <si>
    <t xml:space="preserve">Pacote com 05 unidades </t>
  </si>
  <si>
    <t>Vassoura</t>
  </si>
  <si>
    <t>EQUIPAMENTOS DE PROTEÇÃO E SEGURANÇA - AQUAVIÁRIOS - ENCARGO DA CONTRATADA</t>
  </si>
  <si>
    <t>Descrição dos Materiais</t>
  </si>
  <si>
    <t>Valor Unitário</t>
  </si>
  <si>
    <t>Valor Anual</t>
  </si>
  <si>
    <t>Luvas</t>
  </si>
  <si>
    <t>Par</t>
  </si>
  <si>
    <t>Capa Para Chuva Em Pvc</t>
  </si>
  <si>
    <t>Colete Salva Vidas</t>
  </si>
  <si>
    <t>Protetor Auricular/Abafador de Ruído</t>
  </si>
  <si>
    <t>Protetor Labial</t>
  </si>
  <si>
    <t>Protetor Solar</t>
  </si>
  <si>
    <t>Sapatilha Náutica</t>
  </si>
  <si>
    <t>Valor Mensal Aproximado</t>
  </si>
  <si>
    <t>Valor Mensal Aproximado Considerando o Rateio por 2 pessoas</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</si>
  <si>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</si>
  <si>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</si>
  <si>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</si>
  <si>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</si>
  <si>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</si>
  <si>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</si>
  <si>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</si>
  <si>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</si>
  <si>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</si>
  <si>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Altamira</t>
  </si>
  <si>
    <t>Ano Acordo, Convenção ou Sentença Normativa em Dissídio Coletivo</t>
  </si>
  <si>
    <r>
      <rPr>
        <b/>
        <sz val="8"/>
        <color theme="1"/>
        <rFont val="Times New Roman"/>
        <family val="1"/>
        <charset val="1"/>
      </rPr>
      <t xml:space="preserve">CONVENÇÃO COLETIVA DE TRABALHO: </t>
    </r>
    <r>
      <rPr>
        <b/>
        <sz val="8"/>
        <color rgb="FF00B0F0"/>
        <rFont val="Times New Roman"/>
        <family val="1"/>
        <charset val="1"/>
      </rPr>
      <t xml:space="preserve"> 2023/2025</t>
    </r>
  </si>
  <si>
    <r>
      <rPr>
        <b/>
        <sz val="8"/>
        <color theme="1"/>
        <rFont val="Times New Roman"/>
        <family val="1"/>
        <charset val="1"/>
      </rPr>
      <t xml:space="preserve">NÚMERO DE REGISTRO NO MTE:  </t>
    </r>
    <r>
      <rPr>
        <b/>
        <sz val="8"/>
        <color rgb="FF00B0F0"/>
        <rFont val="Times New Roman"/>
        <family val="1"/>
        <charset val="1"/>
      </rPr>
      <t>PA001062/2023</t>
    </r>
  </si>
  <si>
    <r>
      <rPr>
        <b/>
        <sz val="8"/>
        <color theme="1"/>
        <rFont val="Times New Roman"/>
        <family val="1"/>
        <charset val="1"/>
      </rPr>
      <t xml:space="preserve">DATA DE REGISTRO NO MTE:  </t>
    </r>
    <r>
      <rPr>
        <b/>
        <sz val="8"/>
        <color rgb="FF00B0F0"/>
        <rFont val="Times New Roman"/>
        <family val="1"/>
        <charset val="1"/>
      </rPr>
      <t>18/12/2023</t>
    </r>
  </si>
  <si>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</si>
  <si>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</si>
  <si>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</si>
  <si>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</si>
  <si>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</si>
  <si>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</si>
  <si>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</si>
  <si>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</si>
  <si>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Marinheiro Fluvial Regional do Convés</t>
  </si>
  <si>
    <t>Classificação Brasileira de Ocupações (CBO)</t>
  </si>
  <si>
    <t>CBO 7827-05 - Marinheiro de convés (marítimo e fluviário)</t>
  </si>
  <si>
    <t>Salário Normativo da Categoria Profissional</t>
  </si>
  <si>
    <t>Categoria Profissional (vinculada à execução contratual)</t>
  </si>
  <si>
    <t>Navegação Fluvial e Lacustre</t>
  </si>
  <si>
    <t>Data-Base da Categoria (dia/mês/ano)</t>
  </si>
  <si>
    <t>1º/09/2023</t>
  </si>
  <si>
    <t>PLANILHA DE CUSTOS E FORMAÇÃO DE PREÇOS</t>
  </si>
  <si>
    <t>1 – DA COMPOSIÇÃO DA REMUNERAÇÃO</t>
  </si>
  <si>
    <t>Discriminação</t>
  </si>
  <si>
    <t>Valor R$</t>
  </si>
  <si>
    <t>A</t>
  </si>
  <si>
    <t>Soldada Base</t>
  </si>
  <si>
    <t>B</t>
  </si>
  <si>
    <t>Gratificação de Função</t>
  </si>
  <si>
    <t>C</t>
  </si>
  <si>
    <t>Insalubridade</t>
  </si>
  <si>
    <t>D</t>
  </si>
  <si>
    <t>Horas Extras</t>
  </si>
  <si>
    <t>E</t>
  </si>
  <si>
    <t>Adicional Noturno</t>
  </si>
  <si>
    <t>F</t>
  </si>
  <si>
    <t>Repouso Remunerado</t>
  </si>
  <si>
    <t>G</t>
  </si>
  <si>
    <t>Outros</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</si>
  <si>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</si>
  <si>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</si>
  <si>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</si>
  <si>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</si>
  <si>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</si>
  <si>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</si>
  <si>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</si>
  <si>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</si>
  <si>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</si>
  <si>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</si>
  <si>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</si>
  <si>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</si>
  <si>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</si>
  <si>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</si>
  <si>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</si>
  <si>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</si>
  <si>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</si>
  <si>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</si>
  <si>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</si>
  <si>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</si>
  <si>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</si>
  <si>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</si>
  <si>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</si>
  <si>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</si>
  <si>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</si>
  <si>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</si>
  <si>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</si>
  <si>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</si>
  <si>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</si>
  <si>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Valor diário do auxílio-alimentação</t>
  </si>
  <si>
    <t>Seguro de vida em Grupo, Auxílio Morte/Funeral e Assistência Médica e Familiar (Auxílio Doença/Invalidez)</t>
  </si>
  <si>
    <t>Auxílio plano de assistência e cuidado pessoal</t>
  </si>
  <si>
    <t>Outros (especificar)</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</si>
  <si>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</si>
  <si>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</si>
  <si>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</si>
  <si>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</si>
  <si>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</si>
  <si>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</si>
  <si>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</si>
  <si>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</si>
  <si>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</si>
  <si>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</si>
  <si>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Incidência do FGTS sobre o Aviso Prévio Indenizado</t>
  </si>
  <si>
    <t>Multa do FGTS do Aviso Prévio Indenizado</t>
  </si>
  <si>
    <t>Aviso Prévio Trabalhado</t>
  </si>
  <si>
    <t>Incidência dos encargos do submódulo 2.2 sobre o Aviso Prévio Trabalhado</t>
  </si>
  <si>
    <t>Multa do FGTS do 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</si>
  <si>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</si>
  <si>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</si>
  <si>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</si>
  <si>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</si>
  <si>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</si>
  <si>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</si>
  <si>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</si>
  <si>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</si>
  <si>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</si>
  <si>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</si>
  <si>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</si>
  <si>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</si>
  <si>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</si>
  <si>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</si>
  <si>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</si>
  <si>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</si>
  <si>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</si>
  <si>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</si>
  <si>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</si>
  <si>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</si>
  <si>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</si>
  <si>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</si>
  <si>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</si>
  <si>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</si>
  <si>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t>
  </si>
  <si>
    <t>Outros (Especificar)</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</si>
  <si>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</si>
  <si>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</si>
  <si>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</si>
  <si>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</si>
  <si>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</si>
  <si>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</si>
  <si>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</si>
  <si>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</si>
  <si>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</si>
  <si>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</si>
  <si>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</si>
  <si>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</si>
  <si>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</si>
  <si>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</si>
  <si>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</si>
  <si>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</si>
  <si>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</si>
  <si>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</si>
  <si>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</si>
  <si>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</si>
  <si>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</si>
  <si>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meses</t>
  </si>
  <si>
    <t>Valor total mensal</t>
  </si>
  <si>
    <t>Valor Total Anual</t>
  </si>
  <si>
    <t>QUADRO-RESUMO DO VALOR DA DIÁRIA DOS SERVIÇOS</t>
  </si>
  <si>
    <t>Quantidade de Diárias Por Mês</t>
  </si>
  <si>
    <t>Valor da Diária</t>
  </si>
  <si>
    <t>Valor Anual Aproximado</t>
  </si>
  <si>
    <t>CBO 3412-30 - Piloto fluvial</t>
  </si>
  <si>
    <t> Submódulo 2.1 - 13º Salário e Adicional de Férias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</si>
  <si>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</si>
  <si>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</si>
  <si>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</si>
  <si>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</si>
  <si>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</si>
  <si>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</si>
  <si>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</si>
  <si>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Equipamentos - Depreciação de Material Permanente não reversível ao patrimônio Público</t>
  </si>
  <si>
    <t>Outros - Equipamaento de Proteção e Segurança - EPI</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</si>
  <si>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</si>
  <si>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</si>
  <si>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</si>
  <si>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</si>
  <si>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II e Servente de Limpeza c/c Copeiragem,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</si>
  <si>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</si>
  <si>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</si>
  <si>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</si>
  <si>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</si>
  <si>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</si>
  <si>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</si>
  <si>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</si>
  <si>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</si>
  <si>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</si>
  <si>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</si>
  <si>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</si>
  <si>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</si>
  <si>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</si>
  <si>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</si>
  <si>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</si>
  <si>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</si>
  <si>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</si>
  <si>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</si>
  <si>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</si>
  <si>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</si>
  <si>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</si>
  <si>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</si>
  <si>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</si>
  <si>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</si>
  <si>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</si>
  <si>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</si>
  <si>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</si>
  <si>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</si>
  <si>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</si>
  <si>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</si>
  <si>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</si>
  <si>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</si>
  <si>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</si>
  <si>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</si>
  <si>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 Inclusos os Valores dos Uniformes e EPIs</t>
  </si>
  <si>
    <t>Profissionais Residentes</t>
  </si>
  <si>
    <t>Quantidade de Diárias por Mês</t>
  </si>
  <si>
    <t>Valor Mensal por Mês/Posto</t>
  </si>
  <si>
    <t>Valor Anual por Ano/Posto</t>
  </si>
  <si>
    <t>MARINHEIRO</t>
  </si>
  <si>
    <t>PILOTO DE EMBARCAÇÕES</t>
  </si>
  <si>
    <t>TOTAL ITEM I</t>
  </si>
  <si>
    <t>II - Do Preço dos Materiais - Sob Demanda</t>
  </si>
  <si>
    <t>Materiais Diversos + Materiais de Limpeza e Produtos de Higienização</t>
  </si>
  <si>
    <t>Valor Mensal</t>
  </si>
  <si>
    <t>Valor</t>
  </si>
  <si>
    <t>PREÇO TOTAL DA PROPOSTA</t>
  </si>
  <si>
    <t>VALOR TOTAL ITEM I + II</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</si>
  <si>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</si>
  <si>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</si>
  <si>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</si>
  <si>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</si>
  <si>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</si>
  <si>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</si>
  <si>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</si>
  <si>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</si>
  <si>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</si>
  <si>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</si>
  <si>
    <t>ALTAMIRA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</si>
</sst>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R$ &quot;#,##0.00"/>
    <numFmt numFmtId="165" formatCode="&quot;R$ &quot;#,##0.00;[Red]&quot;-R$ &quot;#,##0.00"/>
    <numFmt numFmtId="166" formatCode="#,##0.00\ ;\-#,##0.00\ "/>
    <numFmt numFmtId="167" formatCode="[$R$-416]\ #,##0.00;[Red]\-[$R$-416]\ #,##0.00"/>
  </numFmts>
  <fonts count="25" x14ac:knownFonts="1">
    <font>
      <sz val="11"/>
      <color theme="1"/>
      <name val="Aptos Narrow"/>
      <family val="2"/>
      <charset val="1"/>
    </font>
    <font>
      <sz val="10"/>
      <name val="Arial"/>
      <family val="2"/>
    </font>
    <font>
      <u/>
      <sz val="11"/>
      <color theme="10"/>
      <name val="Aptos Narrow"/>
      <family val="2"/>
      <charset val="1"/>
    </font>
    <font>
      <b/>
      <sz val="8"/>
      <color theme="1"/>
      <name val="Times New Roman"/>
      <family val="1"/>
      <charset val="1"/>
    </font>
    <font>
      <b/>
      <sz val="8"/>
      <color rgb="FF000000"/>
      <name val="Times New Roman"/>
      <family val="1"/>
      <charset val="1"/>
    </font>
    <font>
      <sz val="11"/>
      <color theme="1"/>
      <name val="Times New Roman"/>
      <family val="1"/>
      <charset val="1"/>
    </font>
    <font>
      <sz val="8"/>
      <color theme="1"/>
      <name val="Aptos Narrow"/>
      <family val="2"/>
      <charset val="1"/>
    </font>
    <font>
      <b/>
      <sz val="9"/>
      <color theme="1"/>
      <name val="Times New Roman"/>
      <family val="1"/>
      <charset val="1"/>
    </font>
    <font>
      <sz val="8"/>
      <color rgb="FF000000"/>
      <name val="Times New Roman"/>
      <family val="1"/>
      <charset val="1"/>
    </font>
    <font>
      <sz val="8"/>
      <color theme="1"/>
      <name val="Times New Roman"/>
      <family val="1"/>
      <charset val="1"/>
    </font>
    <font>
      <sz val="9"/>
      <color theme="1"/>
      <name val="Times New Roman"/>
      <family val="1"/>
      <charset val="1"/>
    </font>
    <font>
      <b/>
      <u/>
      <sz val="8"/>
      <color rgb="FF00B0F0"/>
      <name val="Times New Roman"/>
      <family val="1"/>
      <charset val="1"/>
    </font>
    <font>
      <b/>
      <sz val="8"/>
      <color rgb="FF00B0F0"/>
      <name val="Times New Roman"/>
      <family val="1"/>
      <charset val="1"/>
    </font>
    <font>
      <sz val="9"/>
      <color rgb="FF000000"/>
      <name val="Times New Roman"/>
      <family val="1"/>
      <charset val="1"/>
    </font>
    <font>
      <b/>
      <sz val="11"/>
      <color theme="1"/>
      <name val="Aptos Narrow"/>
      <family val="2"/>
      <charset val="1"/>
    </font>
    <font>
      <sz val="11"/>
      <color rgb="FF000000"/>
      <name val="Aptos Narrow"/>
      <family val="2"/>
      <charset val="1"/>
    </font>
    <font>
      <b/>
      <sz val="9"/>
      <color rgb="FF000000"/>
      <name val="Segoe UI"/>
      <family val="2"/>
      <charset val="1"/>
    </font>
    <font>
      <sz val="9"/>
      <color rgb="FF000000"/>
      <name val="Segoe UI"/>
      <family val="2"/>
      <charset val="1"/>
    </font>
    <font>
      <b/>
      <sz val="9"/>
      <color rgb="FF000000"/>
      <name val="Times New Roman"/>
      <family val="1"/>
      <charset val="1"/>
    </font>
    <font>
      <sz val="10"/>
      <name val="Arial"/>
      <family val="2"/>
      <charset val="1"/>
    </font>
    <font>
      <b/>
      <u/>
      <sz val="9"/>
      <color rgb="FF000000"/>
      <name val="Times New Roman"/>
      <family val="1"/>
      <charset val="1"/>
    </font>
    <font>
      <b/>
      <i/>
      <sz val="8"/>
      <color theme="1"/>
      <name val="Times New Roman"/>
      <family val="1"/>
      <charset val="1"/>
    </font>
    <font>
      <b/>
      <sz val="14"/>
      <name val="Arial"/>
      <family val="2"/>
    </font>
    <font>
      <b/>
      <sz val="10"/>
      <name val="Arial"/>
      <family val="2"/>
    </font>
    <font>
      <b/>
      <sz val="10"/>
      <color rgb="FFFF0000"/>
      <name val="Arial"/>
      <family val="2"/>
    </font>
  </fonts>
  <fills count="17">
    <fill>
      <patternFill patternType="none"/>
    </fill>
    <fill>
      <patternFill patternType="gray125"/>
    </fill>
    <fill>
      <patternFill patternType="solid">
        <fgColor rgb="FF729FCF"/>
        <bgColor rgb="FF969696"/>
      </patternFill>
    </fill>
    <fill>
      <patternFill patternType="solid">
        <fgColor theme="4" tint="0.59987182226020086"/>
        <bgColor rgb="FF729FCF"/>
      </patternFill>
    </fill>
    <fill>
      <patternFill patternType="solid">
        <fgColor rgb="FFD9D9D9"/>
        <bgColor rgb="FFC1E5F5"/>
      </patternFill>
    </fill>
    <fill>
      <patternFill patternType="solid">
        <fgColor rgb="FFC1E5F5"/>
        <bgColor rgb="FFD9D9D9"/>
      </patternFill>
    </fill>
    <fill>
      <patternFill patternType="solid">
        <fgColor theme="0"/>
        <bgColor rgb="FFFEFFDE"/>
      </patternFill>
    </fill>
    <fill>
      <patternFill patternType="solid">
        <fgColor theme="5"/>
        <bgColor rgb="FFFF8080"/>
      </patternFill>
    </fill>
    <fill>
      <patternFill patternType="solid">
        <fgColor theme="5" tint="0.59987182226020086"/>
        <bgColor rgb="FFD9D9D9"/>
      </patternFill>
    </fill>
    <fill>
      <patternFill patternType="solid">
        <fgColor rgb="FFFEFFDE"/>
        <bgColor rgb="FFFFFFD7"/>
      </patternFill>
    </fill>
    <fill>
      <patternFill patternType="solid">
        <fgColor rgb="FFEEEEEE"/>
        <bgColor rgb="FFFEFFDE"/>
      </patternFill>
    </fill>
    <fill>
      <patternFill patternType="solid">
        <fgColor rgb="FFFFFFD7"/>
        <bgColor rgb="FFFEFFDE"/>
      </patternFill>
    </fill>
    <fill>
      <patternFill patternType="solid">
        <fgColor theme="4" tint="0.59999389629810485"/>
        <bgColor indexed="64"/>
      </patternFill>
    </fill>
    <fill>
      <patternFill patternType="solid">
        <fgColor rgb="FFFFFF00"/>
        <bgColor indexed="64"/>
      </patternFill>
    </fill>
    <fill>
      <patternFill patternType="solid">
        <fgColor rgb="FFFFFF00"/>
        <bgColor rgb="FFFFFFD7"/>
      </patternFill>
    </fill>
    <fill>
      <patternFill patternType="solid">
        <fgColor rgb="FFFFFF00"/>
        <bgColor rgb="FFD9D9D9"/>
      </patternFill>
    </fill>
    <fill>
      <patternFill patternType="solid">
        <fgColor rgb="FFFFFF00"/>
        <bgColor rgb="FFFEFFDE"/>
      </patternFill>
    </fill>
  </fills>
  <borders count="6">
    <border>
      <left/>
      <right/>
      <top/>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
      <left/>
      <right style="double">
        <color auto="1"/>
      </right>
      <top/>
      <bottom/>
      <diagonal/>
    </border>
    <border>
      <left style="double">
        <color auto="1"/>
      </left>
      <right style="double">
        <color auto="1"/>
      </right>
      <top/>
      <bottom style="double">
        <color auto="1"/>
      </bottom>
      <diagonal/>
    </border>
    <border>
      <left style="double">
        <color auto="1"/>
      </left>
      <right style="double">
        <color auto="1"/>
      </right>
      <top style="double">
        <color auto="1"/>
      </top>
      <bottom/>
      <diagonal/>
    </border>
  </borders>
  <cellStyleXfs count="4">
    <xf numFmtId="0" fontId="0" fillId="0" borderId="0"/>
    <xf numFmtId="0" fontId="2" fillId="0" borderId="0" applyBorder="0" applyProtection="0"/>
    <xf numFmtId="0" fontId="2" fillId="0" borderId="0" applyBorder="0" applyProtection="0"/>
    <xf numFmtId="0" fontId="1" fillId="0" borderId="0"/>
  </cellStyleXfs>
  <cellXfs count="162">
    <xf numFmtId="0" fontId="0" fillId="0" borderId="0" xfId="0"/>
    <xf numFmtId="0" fontId="9" fillId="0" borderId="1" xfId="0" applyFont="1" applyBorder="1" applyAlignment="1">
      <alignment horizontal="center" vertical="center"/>
    </xf>
    <xf numFmtId="1"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0" xfId="0" applyAlignment="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3" fillId="0" borderId="3" xfId="0" applyFont="1" applyBorder="1" applyAlignment="1">
      <alignment horizontal="center" vertical="center"/>
    </xf>
    <xf numFmtId="0" fontId="5" fillId="0" borderId="0" xfId="0" applyFont="1"/>
    <xf numFmtId="0" fontId="6" fillId="0" borderId="0" xfId="0" applyFont="1" applyAlignment="1">
      <alignment horizontal="center"/>
    </xf>
    <xf numFmtId="164" fontId="3"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0" fontId="4" fillId="5"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10" fontId="4" fillId="0" borderId="0" xfId="0" applyNumberFormat="1" applyFont="1" applyAlignment="1">
      <alignment horizontal="center" vertical="center" wrapText="1"/>
    </xf>
    <xf numFmtId="0" fontId="8" fillId="0" borderId="0" xfId="0" applyFont="1" applyAlignment="1">
      <alignment vertical="center"/>
    </xf>
    <xf numFmtId="0" fontId="9" fillId="0" borderId="1" xfId="0" applyFont="1" applyBorder="1" applyAlignment="1">
      <alignment vertical="center" wrapText="1"/>
    </xf>
    <xf numFmtId="164" fontId="9" fillId="0" borderId="1" xfId="0" applyNumberFormat="1" applyFont="1" applyBorder="1" applyAlignment="1">
      <alignment horizontal="center" vertical="center"/>
    </xf>
    <xf numFmtId="165" fontId="9" fillId="0" borderId="1" xfId="0" applyNumberFormat="1" applyFont="1" applyBorder="1" applyAlignment="1">
      <alignment horizontal="center" vertical="center"/>
    </xf>
    <xf numFmtId="0" fontId="3" fillId="0" borderId="1" xfId="0" applyFont="1" applyBorder="1" applyAlignment="1">
      <alignment horizontal="center"/>
    </xf>
    <xf numFmtId="164" fontId="9" fillId="0" borderId="1" xfId="0" applyNumberFormat="1" applyFont="1" applyBorder="1" applyAlignment="1">
      <alignment horizontal="center"/>
    </xf>
    <xf numFmtId="0" fontId="9" fillId="0" borderId="0" xfId="0" applyFont="1"/>
    <xf numFmtId="0" fontId="10" fillId="0" borderId="0" xfId="0" applyFont="1"/>
    <xf numFmtId="0" fontId="10" fillId="0" borderId="0" xfId="0" applyFont="1" applyAlignment="1">
      <alignment vertical="center"/>
    </xf>
    <xf numFmtId="0" fontId="9"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left" vertical="center" wrapText="1"/>
    </xf>
    <xf numFmtId="0" fontId="9"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0" fontId="3" fillId="0" borderId="0" xfId="0" applyFont="1" applyAlignment="1">
      <alignment vertical="center"/>
    </xf>
    <xf numFmtId="0" fontId="9" fillId="0" borderId="1" xfId="0" applyFont="1" applyBorder="1" applyAlignment="1">
      <alignment horizontal="left" vertical="center" wrapText="1"/>
    </xf>
    <xf numFmtId="165" fontId="9" fillId="0" borderId="1" xfId="0" applyNumberFormat="1" applyFont="1" applyBorder="1" applyAlignment="1">
      <alignment horizontal="center" vertical="center" wrapText="1"/>
    </xf>
    <xf numFmtId="0" fontId="9" fillId="0" borderId="0" xfId="0" applyFont="1" applyAlignment="1">
      <alignment vertical="center"/>
    </xf>
    <xf numFmtId="0" fontId="3" fillId="8" borderId="1" xfId="0" applyFont="1" applyFill="1" applyBorder="1" applyAlignment="1">
      <alignment horizontal="center" vertical="center"/>
    </xf>
    <xf numFmtId="0" fontId="3" fillId="9" borderId="1" xfId="0" applyFont="1" applyFill="1" applyBorder="1" applyAlignment="1">
      <alignment horizontal="center" vertical="center"/>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165" fontId="3" fillId="8" borderId="1" xfId="0" applyNumberFormat="1" applyFont="1" applyFill="1" applyBorder="1" applyAlignment="1">
      <alignment horizontal="center" vertical="center"/>
    </xf>
    <xf numFmtId="0" fontId="9" fillId="8" borderId="1" xfId="0" applyFont="1" applyFill="1" applyBorder="1" applyAlignment="1">
      <alignment horizontal="center" vertical="center"/>
    </xf>
    <xf numFmtId="0" fontId="3" fillId="11" borderId="1" xfId="0" applyFont="1" applyFill="1" applyBorder="1" applyAlignment="1">
      <alignment horizontal="center" vertical="center"/>
    </xf>
    <xf numFmtId="165" fontId="3" fillId="11" borderId="1" xfId="0" applyNumberFormat="1" applyFont="1" applyFill="1" applyBorder="1" applyAlignment="1">
      <alignment horizontal="center" vertical="center"/>
    </xf>
    <xf numFmtId="165" fontId="3" fillId="7" borderId="1" xfId="0" applyNumberFormat="1" applyFont="1" applyFill="1" applyBorder="1" applyAlignment="1">
      <alignment horizontal="center" vertical="center"/>
    </xf>
    <xf numFmtId="0" fontId="4" fillId="11" borderId="1" xfId="0" applyFont="1" applyFill="1" applyBorder="1" applyAlignment="1">
      <alignment horizontal="center" vertical="center"/>
    </xf>
    <xf numFmtId="2" fontId="4" fillId="11" borderId="1" xfId="0" applyNumberFormat="1" applyFont="1" applyFill="1" applyBorder="1" applyAlignment="1">
      <alignment horizontal="center" vertical="center"/>
    </xf>
    <xf numFmtId="165" fontId="4" fillId="11" borderId="1" xfId="0" applyNumberFormat="1" applyFont="1" applyFill="1" applyBorder="1" applyAlignment="1">
      <alignment horizontal="center" vertical="center"/>
    </xf>
    <xf numFmtId="0" fontId="4" fillId="8" borderId="1" xfId="0" applyFont="1" applyFill="1" applyBorder="1" applyAlignment="1">
      <alignment horizontal="center" vertical="center"/>
    </xf>
    <xf numFmtId="2" fontId="4" fillId="8" borderId="1" xfId="0" applyNumberFormat="1" applyFont="1" applyFill="1" applyBorder="1" applyAlignment="1">
      <alignment horizontal="center" vertical="center"/>
    </xf>
    <xf numFmtId="165" fontId="4" fillId="8" borderId="1" xfId="0" applyNumberFormat="1" applyFont="1" applyFill="1" applyBorder="1" applyAlignment="1">
      <alignment horizontal="center" vertical="center"/>
    </xf>
    <xf numFmtId="2" fontId="3" fillId="7" borderId="1" xfId="0" applyNumberFormat="1" applyFont="1" applyFill="1" applyBorder="1" applyAlignment="1">
      <alignment horizontal="center" vertical="center"/>
    </xf>
    <xf numFmtId="10" fontId="4" fillId="11" borderId="1" xfId="0" applyNumberFormat="1" applyFont="1" applyFill="1" applyBorder="1" applyAlignment="1">
      <alignment horizontal="center" vertical="center"/>
    </xf>
    <xf numFmtId="10" fontId="4" fillId="8" borderId="1" xfId="0" applyNumberFormat="1" applyFont="1" applyFill="1" applyBorder="1" applyAlignment="1">
      <alignment horizontal="center" vertical="center"/>
    </xf>
    <xf numFmtId="0" fontId="4" fillId="9" borderId="1" xfId="0" applyFont="1" applyFill="1" applyBorder="1" applyAlignment="1">
      <alignment horizontal="center" vertical="center"/>
    </xf>
    <xf numFmtId="10" fontId="3" fillId="7" borderId="1" xfId="0" applyNumberFormat="1" applyFont="1" applyFill="1" applyBorder="1" applyAlignment="1">
      <alignment horizontal="center" vertical="center"/>
    </xf>
    <xf numFmtId="0" fontId="14" fillId="0" borderId="0" xfId="0" applyFont="1"/>
    <xf numFmtId="164" fontId="4" fillId="8" borderId="1" xfId="0" applyNumberFormat="1" applyFont="1" applyFill="1" applyBorder="1" applyAlignment="1">
      <alignment horizontal="center" vertical="center"/>
    </xf>
    <xf numFmtId="164" fontId="4" fillId="11" borderId="1" xfId="0" applyNumberFormat="1" applyFont="1" applyFill="1" applyBorder="1" applyAlignment="1">
      <alignment horizontal="center" vertical="center"/>
    </xf>
    <xf numFmtId="0" fontId="8" fillId="11" borderId="1" xfId="0" applyFont="1" applyFill="1" applyBorder="1" applyAlignment="1">
      <alignment horizontal="center" vertical="center"/>
    </xf>
    <xf numFmtId="0" fontId="8" fillId="8" borderId="1" xfId="0" applyFont="1" applyFill="1" applyBorder="1" applyAlignment="1">
      <alignment horizontal="center" vertical="center"/>
    </xf>
    <xf numFmtId="10" fontId="3" fillId="11" borderId="1" xfId="0" applyNumberFormat="1" applyFont="1" applyFill="1" applyBorder="1" applyAlignment="1">
      <alignment horizontal="center" vertical="center"/>
    </xf>
    <xf numFmtId="10" fontId="3" fillId="8" borderId="1" xfId="0" applyNumberFormat="1" applyFont="1" applyFill="1" applyBorder="1" applyAlignment="1">
      <alignment horizontal="center" vertical="center"/>
    </xf>
    <xf numFmtId="0" fontId="9" fillId="9" borderId="1" xfId="0" applyFont="1" applyFill="1" applyBorder="1" applyAlignment="1">
      <alignment horizontal="center" vertical="center"/>
    </xf>
    <xf numFmtId="0" fontId="8" fillId="9" borderId="1" xfId="0" applyFont="1" applyFill="1" applyBorder="1" applyAlignment="1">
      <alignment horizontal="center" vertical="center"/>
    </xf>
    <xf numFmtId="165" fontId="4" fillId="9" borderId="1" xfId="0" applyNumberFormat="1" applyFont="1" applyFill="1" applyBorder="1" applyAlignment="1">
      <alignment horizontal="center" vertical="center"/>
    </xf>
    <xf numFmtId="0" fontId="3" fillId="8" borderId="0" xfId="0" applyFont="1" applyFill="1" applyAlignment="1">
      <alignment horizontal="center" vertical="center" wrapText="1"/>
    </xf>
    <xf numFmtId="0" fontId="3" fillId="11" borderId="1" xfId="0" applyFont="1" applyFill="1" applyBorder="1" applyAlignment="1">
      <alignment horizontal="center" vertical="center" wrapText="1"/>
    </xf>
    <xf numFmtId="165" fontId="3" fillId="11" borderId="1" xfId="0" applyNumberFormat="1" applyFont="1" applyFill="1" applyBorder="1" applyAlignment="1">
      <alignment horizontal="center" vertical="center" wrapText="1"/>
    </xf>
    <xf numFmtId="164" fontId="3" fillId="11" borderId="1" xfId="0" applyNumberFormat="1" applyFont="1" applyFill="1" applyBorder="1" applyAlignment="1">
      <alignment horizontal="center" vertical="center" wrapText="1"/>
    </xf>
    <xf numFmtId="164" fontId="3" fillId="11" borderId="1" xfId="0" applyNumberFormat="1" applyFont="1" applyFill="1" applyBorder="1" applyAlignment="1">
      <alignment horizontal="center" vertical="center"/>
    </xf>
    <xf numFmtId="0" fontId="0" fillId="0" borderId="0" xfId="0" applyAlignment="1">
      <alignment horizontal="center"/>
    </xf>
    <xf numFmtId="0" fontId="3" fillId="8" borderId="1" xfId="0" applyFont="1" applyFill="1" applyBorder="1" applyAlignment="1">
      <alignment vertical="center" wrapText="1"/>
    </xf>
    <xf numFmtId="165" fontId="3" fillId="8" borderId="1" xfId="0" applyNumberFormat="1" applyFont="1" applyFill="1" applyBorder="1" applyAlignment="1">
      <alignment horizontal="center" vertical="center" wrapText="1"/>
    </xf>
    <xf numFmtId="164" fontId="4" fillId="8" borderId="1" xfId="0" applyNumberFormat="1" applyFont="1" applyFill="1" applyBorder="1" applyAlignment="1">
      <alignment horizontal="center" vertical="center" wrapText="1"/>
    </xf>
    <xf numFmtId="165" fontId="3" fillId="9" borderId="1" xfId="0" applyNumberFormat="1" applyFont="1" applyFill="1" applyBorder="1" applyAlignment="1">
      <alignment horizontal="center" vertical="center" wrapText="1"/>
    </xf>
    <xf numFmtId="164" fontId="4" fillId="9" borderId="1" xfId="0" applyNumberFormat="1"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1" fontId="3" fillId="8" borderId="1" xfId="0" applyNumberFormat="1" applyFont="1" applyFill="1" applyBorder="1" applyAlignment="1">
      <alignment horizontal="center" vertical="center" wrapText="1"/>
    </xf>
    <xf numFmtId="164" fontId="3" fillId="9" borderId="1" xfId="0" applyNumberFormat="1" applyFont="1" applyFill="1" applyBorder="1" applyAlignment="1">
      <alignment horizontal="center" vertical="center" wrapText="1"/>
    </xf>
    <xf numFmtId="0" fontId="1" fillId="0" borderId="0" xfId="3"/>
    <xf numFmtId="0" fontId="23" fillId="0" borderId="0" xfId="3" applyFont="1" applyAlignment="1">
      <alignment horizontal="left" vertical="center" wrapText="1"/>
    </xf>
    <xf numFmtId="0" fontId="1" fillId="0" borderId="0" xfId="3" applyAlignment="1">
      <alignment wrapText="1"/>
    </xf>
    <xf numFmtId="0" fontId="23" fillId="0" borderId="0" xfId="3" applyFont="1" applyAlignment="1">
      <alignment horizontal="left" vertical="center" indent="1"/>
    </xf>
    <xf numFmtId="0" fontId="23" fillId="0" borderId="0" xfId="3" applyFont="1" applyAlignment="1">
      <alignment horizontal="left" vertical="center" wrapText="1" indent="1"/>
    </xf>
    <xf numFmtId="0" fontId="23" fillId="0" borderId="0" xfId="3" applyFont="1" applyAlignment="1">
      <alignment horizontal="center" vertical="center"/>
    </xf>
    <xf numFmtId="0" fontId="1" fillId="0" borderId="0" xfId="3" applyAlignment="1">
      <alignment horizontal="left" vertical="center" wrapText="1" indent="1"/>
    </xf>
    <xf numFmtId="166" fontId="1" fillId="0" borderId="0" xfId="3" applyNumberFormat="1" applyAlignment="1">
      <alignment horizontal="left" vertical="center" wrapText="1" indent="1"/>
    </xf>
    <xf numFmtId="167" fontId="1" fillId="0" borderId="0" xfId="3" applyNumberFormat="1" applyAlignment="1">
      <alignment horizontal="left" vertical="center" wrapText="1" indent="1"/>
    </xf>
    <xf numFmtId="0" fontId="23" fillId="0" borderId="0" xfId="3" applyFont="1" applyAlignment="1">
      <alignment horizontal="left" indent="1"/>
    </xf>
    <xf numFmtId="164" fontId="4" fillId="13" borderId="1" xfId="0" applyNumberFormat="1" applyFont="1" applyFill="1" applyBorder="1" applyAlignment="1">
      <alignment horizontal="center" vertical="center" wrapText="1"/>
    </xf>
    <xf numFmtId="10" fontId="4" fillId="13" borderId="1" xfId="0" applyNumberFormat="1" applyFont="1" applyFill="1" applyBorder="1" applyAlignment="1">
      <alignment horizontal="center" vertical="center" wrapText="1"/>
    </xf>
    <xf numFmtId="164" fontId="9" fillId="13"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64" fontId="3" fillId="0" borderId="1" xfId="0" applyNumberFormat="1" applyFont="1" applyBorder="1" applyAlignment="1">
      <alignment horizontal="center"/>
    </xf>
    <xf numFmtId="164" fontId="9" fillId="13" borderId="1" xfId="0" applyNumberFormat="1" applyFont="1" applyFill="1" applyBorder="1" applyAlignment="1">
      <alignment horizontal="center" vertical="center" wrapText="1"/>
    </xf>
    <xf numFmtId="165" fontId="9" fillId="13" borderId="1" xfId="0" applyNumberFormat="1" applyFont="1" applyFill="1" applyBorder="1" applyAlignment="1">
      <alignment horizontal="center" vertical="center" wrapText="1"/>
    </xf>
    <xf numFmtId="164" fontId="3" fillId="0" borderId="5" xfId="0" applyNumberFormat="1" applyFont="1" applyBorder="1" applyAlignment="1">
      <alignment horizontal="center" vertical="center"/>
    </xf>
    <xf numFmtId="165" fontId="3" fillId="15" borderId="1" xfId="0" applyNumberFormat="1" applyFont="1" applyFill="1" applyBorder="1" applyAlignment="1">
      <alignment horizontal="center" vertical="center"/>
    </xf>
    <xf numFmtId="165" fontId="3" fillId="16" borderId="1" xfId="0" applyNumberFormat="1" applyFont="1" applyFill="1" applyBorder="1" applyAlignment="1">
      <alignment horizontal="center" vertical="center"/>
    </xf>
    <xf numFmtId="10" fontId="4" fillId="16" borderId="1" xfId="0" applyNumberFormat="1" applyFont="1" applyFill="1" applyBorder="1" applyAlignment="1">
      <alignment horizontal="center" vertical="center"/>
    </xf>
    <xf numFmtId="10" fontId="4" fillId="15" borderId="1" xfId="0" applyNumberFormat="1" applyFont="1" applyFill="1" applyBorder="1" applyAlignment="1">
      <alignment horizontal="center" vertical="center"/>
    </xf>
    <xf numFmtId="10" fontId="3" fillId="15" borderId="1" xfId="0" applyNumberFormat="1" applyFont="1" applyFill="1" applyBorder="1" applyAlignment="1">
      <alignment horizontal="center" vertical="center"/>
    </xf>
    <xf numFmtId="10" fontId="3" fillId="14" borderId="1" xfId="0" applyNumberFormat="1" applyFont="1" applyFill="1" applyBorder="1" applyAlignment="1">
      <alignment horizontal="center" vertical="center"/>
    </xf>
    <xf numFmtId="0" fontId="23" fillId="0" borderId="0" xfId="3" applyFont="1" applyAlignment="1">
      <alignment horizontal="left" vertical="center" wrapText="1" indent="1"/>
    </xf>
    <xf numFmtId="0" fontId="23" fillId="0" borderId="0" xfId="3" applyFont="1" applyAlignment="1">
      <alignment horizontal="left" vertical="center" wrapText="1"/>
    </xf>
    <xf numFmtId="0" fontId="24" fillId="0" borderId="0" xfId="3" applyFont="1" applyAlignment="1">
      <alignment horizontal="left"/>
    </xf>
    <xf numFmtId="0" fontId="22" fillId="12" borderId="0" xfId="3" applyFont="1" applyFill="1" applyAlignment="1">
      <alignment horizontal="center" vertical="center"/>
    </xf>
    <xf numFmtId="0" fontId="22" fillId="0" borderId="0" xfId="3" applyFont="1" applyAlignment="1">
      <alignment horizontal="center" vertical="center"/>
    </xf>
    <xf numFmtId="0" fontId="3" fillId="2" borderId="1" xfId="0" applyFont="1" applyFill="1" applyBorder="1" applyAlignment="1">
      <alignment horizontal="center" vertical="center"/>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2" xfId="0"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164" fontId="3" fillId="8" borderId="2"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3" fillId="9"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8" borderId="1" xfId="0" applyFont="1" applyFill="1" applyBorder="1" applyAlignment="1">
      <alignment horizontal="left" vertical="center" wrapText="1"/>
    </xf>
    <xf numFmtId="0" fontId="21" fillId="9"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 fontId="3" fillId="0" borderId="1" xfId="0" applyNumberFormat="1" applyFont="1" applyBorder="1" applyAlignment="1">
      <alignment horizontal="center" vertical="center"/>
    </xf>
    <xf numFmtId="0" fontId="9" fillId="0" borderId="1" xfId="0" applyFont="1" applyBorder="1" applyAlignment="1">
      <alignment horizontal="center" vertical="center"/>
    </xf>
    <xf numFmtId="0" fontId="3" fillId="2" borderId="1" xfId="0" applyFont="1" applyFill="1" applyBorder="1" applyAlignment="1">
      <alignment horizontal="center"/>
    </xf>
    <xf numFmtId="0" fontId="9" fillId="0" borderId="1" xfId="0" applyFont="1" applyBorder="1" applyAlignment="1">
      <alignment horizontal="center"/>
    </xf>
    <xf numFmtId="0" fontId="3" fillId="2" borderId="1" xfId="0" applyFont="1" applyFill="1" applyBorder="1" applyAlignment="1">
      <alignment horizontal="center" vertical="center" wrapText="1"/>
    </xf>
    <xf numFmtId="0" fontId="3" fillId="0" borderId="5" xfId="0" applyFont="1" applyBorder="1" applyAlignment="1">
      <alignment horizontal="center" vertical="center"/>
    </xf>
    <xf numFmtId="0" fontId="9" fillId="8" borderId="1" xfId="0" applyFont="1" applyFill="1" applyBorder="1" applyAlignment="1">
      <alignment vertical="center"/>
    </xf>
    <xf numFmtId="0" fontId="9" fillId="11" borderId="1" xfId="0" applyFont="1" applyFill="1" applyBorder="1" applyAlignment="1">
      <alignment vertical="center"/>
    </xf>
    <xf numFmtId="0" fontId="3" fillId="11" borderId="1" xfId="0" applyFont="1" applyFill="1" applyBorder="1" applyAlignment="1">
      <alignment horizontal="center" vertical="center"/>
    </xf>
    <xf numFmtId="0" fontId="9" fillId="8" borderId="1" xfId="0" applyFont="1" applyFill="1" applyBorder="1" applyAlignment="1">
      <alignment horizontal="center" vertical="center"/>
    </xf>
    <xf numFmtId="0" fontId="9" fillId="0" borderId="1" xfId="0" applyFont="1" applyBorder="1" applyAlignment="1">
      <alignment vertical="center"/>
    </xf>
    <xf numFmtId="0" fontId="9" fillId="9" borderId="1" xfId="0" applyFont="1" applyFill="1" applyBorder="1" applyAlignment="1">
      <alignment vertical="center"/>
    </xf>
    <xf numFmtId="0" fontId="3" fillId="7" borderId="1" xfId="0" applyFont="1" applyFill="1" applyBorder="1" applyAlignment="1">
      <alignment horizontal="center" vertical="center"/>
    </xf>
    <xf numFmtId="0" fontId="9" fillId="7" borderId="1" xfId="0" applyFont="1" applyFill="1" applyBorder="1" applyAlignment="1">
      <alignment horizontal="center" vertical="center"/>
    </xf>
    <xf numFmtId="0" fontId="3" fillId="0" borderId="1" xfId="0" applyFont="1" applyBorder="1" applyAlignment="1">
      <alignment horizontal="center" vertical="center"/>
    </xf>
    <xf numFmtId="0" fontId="3" fillId="8" borderId="1" xfId="0" applyFont="1" applyFill="1" applyBorder="1" applyAlignment="1">
      <alignment horizontal="center" vertical="center"/>
    </xf>
    <xf numFmtId="0" fontId="3" fillId="9" borderId="1" xfId="0" applyFont="1" applyFill="1" applyBorder="1" applyAlignment="1">
      <alignment horizontal="center" vertical="center"/>
    </xf>
    <xf numFmtId="0" fontId="8" fillId="11" borderId="1" xfId="0" applyFont="1" applyFill="1" applyBorder="1" applyAlignment="1">
      <alignment horizontal="left" vertical="center"/>
    </xf>
    <xf numFmtId="0" fontId="8" fillId="8" borderId="1" xfId="0" applyFont="1" applyFill="1" applyBorder="1" applyAlignment="1">
      <alignment horizontal="left" vertical="center"/>
    </xf>
    <xf numFmtId="165" fontId="8" fillId="11" borderId="1" xfId="0" applyNumberFormat="1" applyFont="1" applyFill="1" applyBorder="1" applyAlignment="1">
      <alignment horizontal="left" vertical="center"/>
    </xf>
    <xf numFmtId="0" fontId="8" fillId="11" borderId="1" xfId="0" applyFont="1" applyFill="1" applyBorder="1" applyAlignment="1">
      <alignment horizontal="left" vertical="center" wrapText="1"/>
    </xf>
    <xf numFmtId="0" fontId="13" fillId="11" borderId="1" xfId="0" applyFont="1" applyFill="1" applyBorder="1" applyAlignment="1">
      <alignment horizontal="left" vertical="center"/>
    </xf>
    <xf numFmtId="0" fontId="13" fillId="8" borderId="1" xfId="0" applyFont="1" applyFill="1" applyBorder="1" applyAlignment="1">
      <alignment horizontal="left" vertical="center"/>
    </xf>
    <xf numFmtId="165" fontId="3" fillId="11" borderId="1" xfId="0" applyNumberFormat="1" applyFont="1" applyFill="1" applyBorder="1" applyAlignment="1">
      <alignment horizontal="center" vertical="center"/>
    </xf>
    <xf numFmtId="0" fontId="3" fillId="10" borderId="5" xfId="0" applyFont="1" applyFill="1" applyBorder="1" applyAlignment="1">
      <alignment horizontal="center" vertical="center"/>
    </xf>
    <xf numFmtId="0" fontId="11" fillId="9" borderId="1" xfId="1" applyFont="1" applyFill="1" applyBorder="1" applyAlignment="1" applyProtection="1">
      <alignment horizontal="center" vertical="center"/>
    </xf>
    <xf numFmtId="165" fontId="3" fillId="15" borderId="1" xfId="0" applyNumberFormat="1" applyFont="1" applyFill="1" applyBorder="1" applyAlignment="1">
      <alignment horizontal="center" vertical="center"/>
    </xf>
    <xf numFmtId="0" fontId="3" fillId="15" borderId="1" xfId="0" applyFont="1" applyFill="1" applyBorder="1" applyAlignment="1">
      <alignment horizontal="center" vertical="center"/>
    </xf>
    <xf numFmtId="0" fontId="3" fillId="15" borderId="1" xfId="0" applyFont="1" applyFill="1" applyBorder="1" applyAlignment="1">
      <alignment vertical="center"/>
    </xf>
    <xf numFmtId="0" fontId="9" fillId="6" borderId="5" xfId="0" applyFont="1" applyFill="1" applyBorder="1" applyAlignment="1">
      <alignment vertical="center"/>
    </xf>
    <xf numFmtId="0" fontId="11" fillId="8" borderId="1" xfId="2" applyFont="1" applyFill="1" applyBorder="1" applyAlignment="1" applyProtection="1">
      <alignment horizontal="center" vertical="center"/>
    </xf>
    <xf numFmtId="0" fontId="3" fillId="14" borderId="1" xfId="0" applyFont="1" applyFill="1" applyBorder="1" applyAlignment="1">
      <alignment horizontal="center" vertical="center"/>
    </xf>
    <xf numFmtId="0" fontId="4" fillId="7" borderId="1" xfId="0" applyFont="1" applyFill="1" applyBorder="1" applyAlignment="1">
      <alignment horizontal="center" vertical="center"/>
    </xf>
  </cellXfs>
  <cellStyles count="4">
    <cellStyle name="Hiperlink" xfId="1" builtinId="8"/>
    <cellStyle name="Hyperlink 1" xfId="2" xr:uid="{00000000-0005-0000-0000-000006000000}"/>
    <cellStyle name="Normal" xfId="0" builtinId="0"/>
    <cellStyle name="Normal 2" xfId="3" xr:uid="{276B1193-EFFD-41E9-84A0-94A9DFF2EC4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729FCF"/>
      <rgbColor rgb="FF993366"/>
      <rgbColor rgb="FFFFFFD7"/>
      <rgbColor rgb="FFC1E5F5"/>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EEEEEE"/>
      <rgbColor rgb="FFCCFFCC"/>
      <rgbColor rgb="FFFEFFDE"/>
      <rgbColor rgb="FF82CAEC"/>
      <rgbColor rgb="FFFF99CC"/>
      <rgbColor rgb="FFCC99FF"/>
      <rgbColor rgb="FFF6C7AD"/>
      <rgbColor rgb="FF3366FF"/>
      <rgbColor rgb="FF33CCCC"/>
      <rgbColor rgb="FF99CC00"/>
      <rgbColor rgb="FFFFCC00"/>
      <rgbColor rgb="FFFF9900"/>
      <rgbColor rgb="FFE87331"/>
      <rgbColor rgb="FF467886"/>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1457280</xdr:colOff>
      <xdr:row>0</xdr:row>
      <xdr:rowOff>57240</xdr:rowOff>
    </xdr:from>
    <xdr:to>
      <xdr:col>3</xdr:col>
      <xdr:colOff>948240</xdr:colOff>
      <xdr:row>0</xdr:row>
      <xdr:rowOff>1629360</xdr:rowOff>
    </xdr:to>
    <xdr:pic>
      <xdr:nvPicPr>
        <xdr:cNvPr id="2" name="Imagem 2">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a:stretch/>
      </xdr:blipFill>
      <xdr:spPr>
        <a:xfrm>
          <a:off x="2310120" y="57240"/>
          <a:ext cx="2808000" cy="15721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1085040</xdr:colOff>
      <xdr:row>5</xdr:row>
      <xdr:rowOff>153360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stretch/>
      </xdr:blipFill>
      <xdr:spPr>
        <a:xfrm>
          <a:off x="2331720" y="66600"/>
          <a:ext cx="1992600" cy="10486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1085040</xdr:colOff>
      <xdr:row>5</xdr:row>
      <xdr:rowOff>153360</xdr:rowOff>
    </xdr:to>
    <xdr:pic>
      <xdr:nvPicPr>
        <xdr:cNvPr id="2" name="Imagem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a:stretch/>
      </xdr:blipFill>
      <xdr:spPr>
        <a:xfrm>
          <a:off x="2331720" y="66600"/>
          <a:ext cx="1992600" cy="1048680"/>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ocupacoes.com.br/cbo-mte/341230-piloto-fluvial"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ocupacoes.com.br/cbo-mte/782705-marinheiro-de-conves-maritimo-e-fluviari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2FD3C-144D-42B5-BDFF-DE51930ADFC0}">
  <sheetPr>
    <pageSetUpPr fitToPage="1"/>
  </sheetPr>
  <dimension ref="A1:BL35"/>
  <sheetViews>
    <sheetView showGridLines="0" showRowColHeaders="0" tabSelected="1" view="pageBreakPreview" topLeftCell="A7" zoomScale="110" zoomScaleNormal="120" zoomScaleSheetLayoutView="110" zoomScalePageLayoutView="90" workbookViewId="0">
      <selection activeCell="C7" sqref="C7"/>
    </sheetView>
  </sheetViews>
  <sheetFormatPr defaultColWidth="8.88671875" defaultRowHeight="13.2" x14ac:dyDescent="0.25"/>
  <cols>
    <col min="1" max="1" width="7.6640625" style="84" customWidth="1"/>
    <col min="2" max="10" width="17.88671875" style="84" customWidth="1"/>
    <col min="11" max="64" width="11.6640625" style="84" customWidth="1"/>
    <col min="65" max="16384" width="8.88671875" style="84"/>
  </cols>
  <sheetData>
    <row r="1" spans="1:64" ht="12.75" customHeight="1" x14ac:dyDescent="0.25">
      <c r="A1" s="111" t="s">
        <v>336</v>
      </c>
      <c r="B1" s="111"/>
      <c r="C1" s="111"/>
      <c r="D1" s="111"/>
      <c r="E1" s="111"/>
      <c r="F1" s="111"/>
      <c r="G1" s="111"/>
      <c r="H1" s="111"/>
      <c r="I1" s="111"/>
      <c r="J1" s="111"/>
    </row>
    <row r="2" spans="1:64" ht="18" customHeight="1" x14ac:dyDescent="0.25">
      <c r="A2" s="111"/>
      <c r="B2" s="111"/>
      <c r="C2" s="111"/>
      <c r="D2" s="111"/>
      <c r="E2" s="111"/>
      <c r="F2" s="111"/>
      <c r="G2" s="111"/>
      <c r="H2" s="111"/>
      <c r="I2" s="111"/>
      <c r="J2" s="111"/>
    </row>
    <row r="4" spans="1:64" ht="17.399999999999999" x14ac:dyDescent="0.25">
      <c r="A4" s="112" t="s">
        <v>337</v>
      </c>
      <c r="B4" s="112"/>
      <c r="C4" s="112"/>
      <c r="D4" s="112"/>
      <c r="E4" s="112"/>
      <c r="F4" s="112"/>
      <c r="G4" s="112"/>
      <c r="H4" s="112"/>
      <c r="I4" s="112"/>
      <c r="J4" s="112"/>
    </row>
    <row r="8" spans="1:64" x14ac:dyDescent="0.25">
      <c r="A8" s="85"/>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row>
    <row r="9" spans="1:64" ht="12.75" customHeight="1" x14ac:dyDescent="0.25">
      <c r="A9" s="87">
        <v>1</v>
      </c>
      <c r="B9" s="108" t="s">
        <v>338</v>
      </c>
      <c r="C9" s="108"/>
      <c r="D9" s="108"/>
      <c r="E9" s="108"/>
      <c r="F9" s="108"/>
      <c r="G9" s="108"/>
      <c r="H9" s="108"/>
      <c r="I9" s="108"/>
      <c r="J9" s="108"/>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row>
    <row r="10" spans="1:64" x14ac:dyDescent="0.25">
      <c r="A10" s="89"/>
      <c r="B10" s="89"/>
      <c r="C10" s="89"/>
      <c r="D10" s="89"/>
      <c r="E10" s="89"/>
      <c r="F10" s="89"/>
      <c r="G10" s="89"/>
      <c r="H10" s="89"/>
      <c r="I10" s="89"/>
      <c r="J10" s="89"/>
    </row>
    <row r="11" spans="1:64" ht="24.6" customHeight="1" x14ac:dyDescent="0.25">
      <c r="A11" s="87">
        <v>2</v>
      </c>
      <c r="B11" s="108" t="s">
        <v>339</v>
      </c>
      <c r="C11" s="108"/>
      <c r="D11" s="108"/>
      <c r="E11" s="108"/>
      <c r="F11" s="108"/>
      <c r="G11" s="108"/>
      <c r="H11" s="108"/>
      <c r="I11" s="108"/>
      <c r="J11" s="108"/>
    </row>
    <row r="12" spans="1:64" x14ac:dyDescent="0.25">
      <c r="A12" s="87"/>
      <c r="B12" s="90"/>
      <c r="C12" s="90"/>
      <c r="D12" s="90"/>
      <c r="E12" s="91"/>
      <c r="F12" s="92"/>
      <c r="G12" s="92"/>
      <c r="H12" s="90"/>
      <c r="I12" s="92"/>
      <c r="J12" s="92"/>
    </row>
    <row r="13" spans="1:64" ht="24.6" customHeight="1" x14ac:dyDescent="0.25">
      <c r="A13" s="87">
        <v>3</v>
      </c>
      <c r="B13" s="108" t="s">
        <v>340</v>
      </c>
      <c r="C13" s="108"/>
      <c r="D13" s="108"/>
      <c r="E13" s="108"/>
      <c r="F13" s="108"/>
      <c r="G13" s="108"/>
      <c r="H13" s="108"/>
      <c r="I13" s="108"/>
      <c r="J13" s="108"/>
    </row>
    <row r="14" spans="1:64" x14ac:dyDescent="0.25">
      <c r="A14" s="87"/>
      <c r="B14" s="90"/>
      <c r="C14" s="90"/>
      <c r="D14" s="90"/>
      <c r="E14" s="91"/>
      <c r="F14" s="92"/>
      <c r="G14" s="92"/>
      <c r="H14" s="90"/>
      <c r="I14" s="92"/>
      <c r="J14" s="92"/>
    </row>
    <row r="15" spans="1:64" ht="24.6" customHeight="1" x14ac:dyDescent="0.25">
      <c r="A15" s="87">
        <v>4</v>
      </c>
      <c r="B15" s="108" t="s">
        <v>341</v>
      </c>
      <c r="C15" s="108"/>
      <c r="D15" s="108"/>
      <c r="E15" s="108"/>
      <c r="F15" s="108"/>
      <c r="G15" s="108"/>
      <c r="H15" s="108"/>
      <c r="I15" s="108"/>
      <c r="J15" s="108"/>
    </row>
    <row r="16" spans="1:64" x14ac:dyDescent="0.25">
      <c r="A16" s="87"/>
      <c r="B16" s="88"/>
      <c r="C16" s="88"/>
      <c r="D16" s="88"/>
      <c r="E16" s="88"/>
      <c r="F16" s="88"/>
      <c r="G16" s="88"/>
      <c r="H16" s="88"/>
      <c r="I16" s="88"/>
      <c r="J16" s="88"/>
    </row>
    <row r="17" spans="1:10" ht="12.9" customHeight="1" x14ac:dyDescent="0.25">
      <c r="A17" s="87">
        <v>5</v>
      </c>
      <c r="B17" s="108" t="s">
        <v>342</v>
      </c>
      <c r="C17" s="108"/>
      <c r="D17" s="108"/>
      <c r="E17" s="108"/>
      <c r="F17" s="108"/>
      <c r="G17" s="108"/>
      <c r="H17" s="108"/>
      <c r="I17" s="108"/>
      <c r="J17" s="108"/>
    </row>
    <row r="18" spans="1:10" x14ac:dyDescent="0.25">
      <c r="A18" s="87"/>
      <c r="B18" s="90"/>
      <c r="C18" s="90"/>
      <c r="D18" s="90"/>
      <c r="E18" s="91"/>
      <c r="F18" s="92"/>
      <c r="G18" s="92"/>
      <c r="H18" s="90"/>
      <c r="I18" s="92"/>
      <c r="J18" s="92"/>
    </row>
    <row r="19" spans="1:10" ht="45" customHeight="1" x14ac:dyDescent="0.25">
      <c r="A19" s="87">
        <v>6</v>
      </c>
      <c r="B19" s="108" t="s">
        <v>343</v>
      </c>
      <c r="C19" s="108"/>
      <c r="D19" s="108"/>
      <c r="E19" s="108"/>
      <c r="F19" s="108"/>
      <c r="G19" s="108"/>
      <c r="H19" s="108"/>
      <c r="I19" s="108"/>
      <c r="J19" s="108"/>
    </row>
    <row r="20" spans="1:10" x14ac:dyDescent="0.25">
      <c r="A20" s="87"/>
      <c r="B20" s="88"/>
      <c r="C20" s="88"/>
      <c r="D20" s="88"/>
      <c r="E20" s="88"/>
      <c r="F20" s="88"/>
      <c r="G20" s="88"/>
      <c r="H20" s="88"/>
      <c r="I20" s="88"/>
      <c r="J20" s="88"/>
    </row>
    <row r="21" spans="1:10" ht="30.75" customHeight="1" x14ac:dyDescent="0.25">
      <c r="A21" s="93">
        <v>7</v>
      </c>
      <c r="B21" s="108" t="s">
        <v>344</v>
      </c>
      <c r="C21" s="108"/>
      <c r="D21" s="108"/>
      <c r="E21" s="108"/>
      <c r="F21" s="108"/>
      <c r="G21" s="108"/>
      <c r="H21" s="108"/>
      <c r="I21" s="108"/>
      <c r="J21" s="108"/>
    </row>
    <row r="23" spans="1:10" ht="27.75" customHeight="1" x14ac:dyDescent="0.25">
      <c r="A23" s="87">
        <v>8</v>
      </c>
      <c r="B23" s="108" t="s">
        <v>345</v>
      </c>
      <c r="C23" s="108"/>
      <c r="D23" s="108"/>
      <c r="E23" s="108"/>
      <c r="F23" s="108"/>
      <c r="G23" s="108"/>
      <c r="H23" s="108"/>
      <c r="I23" s="108"/>
      <c r="J23" s="108"/>
    </row>
    <row r="24" spans="1:10" ht="10.5" customHeight="1" x14ac:dyDescent="0.25"/>
    <row r="25" spans="1:10" ht="26.25" customHeight="1" x14ac:dyDescent="0.25">
      <c r="A25" s="87"/>
      <c r="B25" s="108"/>
      <c r="C25" s="108"/>
      <c r="D25" s="108"/>
      <c r="E25" s="108"/>
      <c r="F25" s="108"/>
      <c r="G25" s="108"/>
      <c r="H25" s="108"/>
      <c r="I25" s="108"/>
      <c r="J25" s="108"/>
    </row>
    <row r="26" spans="1:10" ht="14.25" customHeight="1" x14ac:dyDescent="0.25"/>
    <row r="27" spans="1:10" ht="39.75" customHeight="1" x14ac:dyDescent="0.25">
      <c r="A27" s="87"/>
      <c r="B27" s="108"/>
      <c r="C27" s="108"/>
      <c r="D27" s="108"/>
      <c r="E27" s="108"/>
      <c r="F27" s="108"/>
      <c r="G27" s="108"/>
      <c r="H27" s="108"/>
      <c r="I27" s="108"/>
      <c r="J27" s="108"/>
    </row>
    <row r="29" spans="1:10" x14ac:dyDescent="0.25">
      <c r="A29" s="87"/>
      <c r="B29" s="108"/>
      <c r="C29" s="108"/>
      <c r="D29" s="108"/>
      <c r="E29" s="108"/>
      <c r="F29" s="108"/>
      <c r="G29" s="108"/>
      <c r="H29" s="108"/>
      <c r="I29" s="108"/>
      <c r="J29" s="108"/>
    </row>
    <row r="31" spans="1:10" ht="30" customHeight="1" x14ac:dyDescent="0.25">
      <c r="A31" s="87"/>
      <c r="B31" s="108"/>
      <c r="C31" s="108"/>
      <c r="D31" s="108"/>
      <c r="E31" s="108"/>
      <c r="F31" s="108"/>
      <c r="G31" s="108"/>
      <c r="H31" s="108"/>
      <c r="I31" s="108"/>
      <c r="J31" s="108"/>
    </row>
    <row r="33" spans="1:10" ht="35.25" customHeight="1" x14ac:dyDescent="0.25">
      <c r="A33" s="87"/>
      <c r="B33" s="109"/>
      <c r="C33" s="109"/>
      <c r="D33" s="109"/>
      <c r="E33" s="109"/>
      <c r="F33" s="109"/>
      <c r="G33" s="109"/>
      <c r="H33" s="109"/>
      <c r="I33" s="109"/>
      <c r="J33" s="109"/>
    </row>
    <row r="35" spans="1:10" x14ac:dyDescent="0.25">
      <c r="A35" s="87"/>
      <c r="B35" s="110"/>
      <c r="C35" s="110"/>
      <c r="D35" s="110"/>
      <c r="E35" s="110"/>
      <c r="F35" s="110"/>
      <c r="G35" s="110"/>
      <c r="H35" s="110"/>
      <c r="I35" s="110"/>
      <c r="J35" s="110"/>
    </row>
  </sheetData>
  <mergeCells count="16">
    <mergeCell ref="B15:J15"/>
    <mergeCell ref="A1:J2"/>
    <mergeCell ref="A4:J4"/>
    <mergeCell ref="B9:J9"/>
    <mergeCell ref="B11:J11"/>
    <mergeCell ref="B13:J13"/>
    <mergeCell ref="B29:J29"/>
    <mergeCell ref="B31:J31"/>
    <mergeCell ref="B33:J33"/>
    <mergeCell ref="B35:J35"/>
    <mergeCell ref="B17:J17"/>
    <mergeCell ref="B19:J19"/>
    <mergeCell ref="B21:J21"/>
    <mergeCell ref="B23:J23"/>
    <mergeCell ref="B25:J25"/>
    <mergeCell ref="B27:J27"/>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49"/>
  <sheetViews>
    <sheetView zoomScale="150" zoomScaleNormal="15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158"/>
      <c r="B1" s="158"/>
      <c r="C1" s="158"/>
      <c r="D1" s="158"/>
      <c r="E1" s="158"/>
      <c r="F1" s="158"/>
    </row>
    <row r="2" spans="1:6" x14ac:dyDescent="0.3">
      <c r="A2" s="158"/>
      <c r="B2" s="158"/>
      <c r="C2" s="158"/>
      <c r="D2" s="158"/>
      <c r="E2" s="158"/>
      <c r="F2" s="158"/>
    </row>
    <row r="3" spans="1:6" x14ac:dyDescent="0.3">
      <c r="A3" s="158"/>
      <c r="B3" s="158"/>
      <c r="C3" s="158"/>
      <c r="D3" s="158"/>
      <c r="E3" s="158"/>
      <c r="F3" s="158"/>
    </row>
    <row r="4" spans="1:6" x14ac:dyDescent="0.3">
      <c r="A4" s="158"/>
      <c r="B4" s="158"/>
      <c r="C4" s="158"/>
      <c r="D4" s="158"/>
      <c r="E4" s="158"/>
      <c r="F4" s="158"/>
    </row>
    <row r="5" spans="1:6" x14ac:dyDescent="0.3">
      <c r="A5" s="158"/>
      <c r="B5" s="158"/>
      <c r="C5" s="158"/>
      <c r="D5" s="158"/>
      <c r="E5" s="158"/>
      <c r="F5" s="158"/>
    </row>
    <row r="6" spans="1:6" x14ac:dyDescent="0.3">
      <c r="A6" s="158"/>
      <c r="B6" s="158"/>
      <c r="C6" s="158"/>
      <c r="D6" s="158"/>
      <c r="E6" s="158"/>
      <c r="F6" s="158"/>
    </row>
    <row r="7" spans="1:6" x14ac:dyDescent="0.3">
      <c r="A7" s="139"/>
      <c r="B7" s="139"/>
      <c r="C7" s="139"/>
      <c r="D7" s="139"/>
      <c r="E7" s="139"/>
      <c r="F7" s="139"/>
    </row>
    <row r="8" spans="1:6" x14ac:dyDescent="0.3">
      <c r="A8" s="141" t="s">
        <v>122</v>
      </c>
      <c r="B8" s="141"/>
      <c r="C8" s="141"/>
      <c r="D8" s="141"/>
      <c r="E8" s="141"/>
      <c r="F8" s="141"/>
    </row>
    <row r="9" spans="1:6" x14ac:dyDescent="0.3">
      <c r="A9" s="144" t="s">
        <v>123</v>
      </c>
      <c r="B9" s="144"/>
      <c r="C9" s="159" t="s">
        <v>124</v>
      </c>
      <c r="D9" s="159"/>
      <c r="E9" s="159"/>
      <c r="F9" s="159"/>
    </row>
    <row r="10" spans="1:6" x14ac:dyDescent="0.3">
      <c r="A10" s="145" t="s">
        <v>125</v>
      </c>
      <c r="B10" s="145"/>
      <c r="C10" s="160" t="s">
        <v>126</v>
      </c>
      <c r="D10" s="160"/>
      <c r="E10" s="160"/>
      <c r="F10" s="160"/>
    </row>
    <row r="11" spans="1:6" x14ac:dyDescent="0.3">
      <c r="A11" s="139"/>
      <c r="B11" s="139"/>
      <c r="C11" s="139"/>
      <c r="D11" s="139"/>
      <c r="E11" s="139"/>
      <c r="F11" s="139"/>
    </row>
    <row r="12" spans="1:6" x14ac:dyDescent="0.3">
      <c r="A12" s="141" t="s">
        <v>127</v>
      </c>
      <c r="B12" s="141"/>
      <c r="C12" s="141"/>
      <c r="D12" s="141"/>
      <c r="E12" s="141"/>
      <c r="F12" s="141"/>
    </row>
    <row r="13" spans="1:6" x14ac:dyDescent="0.3">
      <c r="A13" s="144" t="s">
        <v>128</v>
      </c>
      <c r="B13" s="144"/>
      <c r="C13" s="156" t="s">
        <v>129</v>
      </c>
      <c r="D13" s="156"/>
      <c r="E13" s="156"/>
      <c r="F13" s="156"/>
    </row>
    <row r="14" spans="1:6" x14ac:dyDescent="0.3">
      <c r="A14" s="145" t="s">
        <v>130</v>
      </c>
      <c r="B14" s="145"/>
      <c r="C14" s="145" t="s">
        <v>131</v>
      </c>
      <c r="D14" s="145"/>
      <c r="E14" s="145"/>
      <c r="F14" s="145"/>
    </row>
    <row r="15" spans="1:6" ht="16.5" customHeight="1" x14ac:dyDescent="0.3">
      <c r="A15" s="114" t="s">
        <v>132</v>
      </c>
      <c r="B15" s="114"/>
      <c r="C15" s="157" t="s">
        <v>133</v>
      </c>
      <c r="D15" s="157"/>
      <c r="E15" s="157"/>
      <c r="F15" s="157"/>
    </row>
    <row r="16" spans="1:6" x14ac:dyDescent="0.3">
      <c r="A16" s="114"/>
      <c r="B16" s="114"/>
      <c r="C16" s="157" t="s">
        <v>134</v>
      </c>
      <c r="D16" s="157"/>
      <c r="E16" s="157"/>
      <c r="F16" s="157"/>
    </row>
    <row r="17" spans="1:6" x14ac:dyDescent="0.3">
      <c r="A17" s="114"/>
      <c r="B17" s="114"/>
      <c r="C17" s="157" t="s">
        <v>135</v>
      </c>
      <c r="D17" s="157"/>
      <c r="E17" s="157"/>
      <c r="F17" s="157"/>
    </row>
    <row r="18" spans="1:6" ht="15.75" customHeight="1" x14ac:dyDescent="0.3">
      <c r="A18" s="115" t="s">
        <v>136</v>
      </c>
      <c r="B18" s="115"/>
      <c r="C18" s="145">
        <v>12</v>
      </c>
      <c r="D18" s="145"/>
      <c r="E18" s="145"/>
      <c r="F18" s="145"/>
    </row>
    <row r="19" spans="1:6" x14ac:dyDescent="0.3">
      <c r="A19" s="139"/>
      <c r="B19" s="139"/>
      <c r="C19" s="139"/>
      <c r="D19" s="139"/>
      <c r="E19" s="139"/>
      <c r="F19" s="139"/>
    </row>
    <row r="20" spans="1:6" x14ac:dyDescent="0.3">
      <c r="A20" s="141" t="s">
        <v>137</v>
      </c>
      <c r="B20" s="141"/>
      <c r="C20" s="141"/>
      <c r="D20" s="141"/>
      <c r="E20" s="141"/>
      <c r="F20" s="141"/>
    </row>
    <row r="21" spans="1:6" x14ac:dyDescent="0.3">
      <c r="A21" s="144" t="s">
        <v>138</v>
      </c>
      <c r="B21" s="144"/>
      <c r="C21" s="144" t="s">
        <v>139</v>
      </c>
      <c r="D21" s="144"/>
      <c r="E21" s="144"/>
      <c r="F21" s="144"/>
    </row>
    <row r="22" spans="1:6" ht="27" customHeight="1" x14ac:dyDescent="0.3">
      <c r="A22" s="115" t="s">
        <v>140</v>
      </c>
      <c r="B22" s="115"/>
      <c r="C22" s="145">
        <v>1</v>
      </c>
      <c r="D22" s="145"/>
      <c r="E22" s="145"/>
      <c r="F22" s="145"/>
    </row>
    <row r="23" spans="1:6" x14ac:dyDescent="0.3">
      <c r="A23" s="139"/>
      <c r="B23" s="139"/>
      <c r="C23" s="139"/>
      <c r="D23" s="139"/>
      <c r="E23" s="139"/>
      <c r="F23" s="139"/>
    </row>
    <row r="24" spans="1:6" x14ac:dyDescent="0.3">
      <c r="A24" s="141" t="s">
        <v>141</v>
      </c>
      <c r="B24" s="141"/>
      <c r="C24" s="141"/>
      <c r="D24" s="141"/>
      <c r="E24" s="141"/>
      <c r="F24" s="141"/>
    </row>
    <row r="25" spans="1:6" x14ac:dyDescent="0.3">
      <c r="A25" s="145" t="s">
        <v>142</v>
      </c>
      <c r="B25" s="145"/>
      <c r="C25" s="145"/>
      <c r="D25" s="145"/>
      <c r="E25" s="145"/>
      <c r="F25" s="145"/>
    </row>
    <row r="26" spans="1:6" ht="21" customHeight="1" x14ac:dyDescent="0.3">
      <c r="A26" s="114" t="s">
        <v>143</v>
      </c>
      <c r="B26" s="114"/>
      <c r="C26" s="144" t="s">
        <v>25</v>
      </c>
      <c r="D26" s="144"/>
      <c r="E26" s="144"/>
      <c r="F26" s="144"/>
    </row>
    <row r="27" spans="1:6" x14ac:dyDescent="0.3">
      <c r="A27" s="145" t="s">
        <v>145</v>
      </c>
      <c r="B27" s="145"/>
      <c r="C27" s="154" t="s">
        <v>272</v>
      </c>
      <c r="D27" s="154"/>
      <c r="E27" s="154"/>
      <c r="F27" s="154"/>
    </row>
    <row r="28" spans="1:6" x14ac:dyDescent="0.3">
      <c r="A28" s="144" t="s">
        <v>147</v>
      </c>
      <c r="B28" s="144"/>
      <c r="C28" s="155">
        <f>'Salários.VA.VT.QteDias'!D3</f>
        <v>1694.68</v>
      </c>
      <c r="D28" s="155"/>
      <c r="E28" s="155"/>
      <c r="F28" s="155"/>
    </row>
    <row r="29" spans="1:6" ht="24.75" customHeight="1" x14ac:dyDescent="0.3">
      <c r="A29" s="115" t="s">
        <v>148</v>
      </c>
      <c r="B29" s="115"/>
      <c r="C29" s="145" t="s">
        <v>149</v>
      </c>
      <c r="D29" s="145"/>
      <c r="E29" s="145"/>
      <c r="F29" s="145"/>
    </row>
    <row r="30" spans="1:6" x14ac:dyDescent="0.3">
      <c r="A30" s="144" t="s">
        <v>150</v>
      </c>
      <c r="B30" s="144"/>
      <c r="C30" s="156" t="s">
        <v>151</v>
      </c>
      <c r="D30" s="156"/>
      <c r="E30" s="156"/>
      <c r="F30" s="156"/>
    </row>
    <row r="31" spans="1:6" x14ac:dyDescent="0.3">
      <c r="A31" s="153" t="s">
        <v>152</v>
      </c>
      <c r="B31" s="153"/>
      <c r="C31" s="153"/>
      <c r="D31" s="153"/>
      <c r="E31" s="153"/>
      <c r="F31" s="153"/>
    </row>
    <row r="32" spans="1:6" x14ac:dyDescent="0.3">
      <c r="A32" s="141" t="s">
        <v>153</v>
      </c>
      <c r="B32" s="141"/>
      <c r="C32" s="141"/>
      <c r="D32" s="141"/>
      <c r="E32" s="141"/>
      <c r="F32" s="141"/>
    </row>
    <row r="33" spans="1:6" x14ac:dyDescent="0.3">
      <c r="A33" s="40" t="s">
        <v>1</v>
      </c>
      <c r="B33" s="138" t="s">
        <v>154</v>
      </c>
      <c r="C33" s="138"/>
      <c r="D33" s="138"/>
      <c r="E33" s="138"/>
      <c r="F33" s="45" t="s">
        <v>155</v>
      </c>
    </row>
    <row r="34" spans="1:6" x14ac:dyDescent="0.3">
      <c r="A34" s="46" t="s">
        <v>156</v>
      </c>
      <c r="B34" s="136" t="s">
        <v>157</v>
      </c>
      <c r="C34" s="136"/>
      <c r="D34" s="136"/>
      <c r="E34" s="136"/>
      <c r="F34" s="47">
        <f>$C$28</f>
        <v>1694.68</v>
      </c>
    </row>
    <row r="35" spans="1:6" x14ac:dyDescent="0.3">
      <c r="A35" s="40" t="s">
        <v>158</v>
      </c>
      <c r="B35" s="135" t="s">
        <v>159</v>
      </c>
      <c r="C35" s="135"/>
      <c r="D35" s="135"/>
      <c r="E35" s="135"/>
      <c r="F35" s="102">
        <v>1602.21</v>
      </c>
    </row>
    <row r="36" spans="1:6" x14ac:dyDescent="0.3">
      <c r="A36" s="46" t="s">
        <v>160</v>
      </c>
      <c r="B36" s="140" t="s">
        <v>161</v>
      </c>
      <c r="C36" s="140"/>
      <c r="D36" s="140"/>
      <c r="E36" s="140"/>
      <c r="F36" s="103">
        <f>TRUNC((573.85),2)</f>
        <v>573.85</v>
      </c>
    </row>
    <row r="37" spans="1:6" x14ac:dyDescent="0.3">
      <c r="A37" s="40" t="s">
        <v>162</v>
      </c>
      <c r="B37" s="135" t="s">
        <v>163</v>
      </c>
      <c r="C37" s="135"/>
      <c r="D37" s="135"/>
      <c r="E37" s="135"/>
      <c r="F37" s="102">
        <v>2373.66</v>
      </c>
    </row>
    <row r="38" spans="1:6" x14ac:dyDescent="0.3">
      <c r="A38" s="46" t="s">
        <v>164</v>
      </c>
      <c r="B38" s="136" t="s">
        <v>165</v>
      </c>
      <c r="C38" s="136"/>
      <c r="D38" s="136"/>
      <c r="E38" s="136"/>
      <c r="F38" s="103">
        <v>632.97</v>
      </c>
    </row>
    <row r="39" spans="1:6" x14ac:dyDescent="0.3">
      <c r="A39" s="40" t="s">
        <v>166</v>
      </c>
      <c r="B39" s="135" t="s">
        <v>167</v>
      </c>
      <c r="C39" s="135"/>
      <c r="D39" s="135"/>
      <c r="E39" s="135"/>
      <c r="F39" s="102">
        <v>915.56</v>
      </c>
    </row>
    <row r="40" spans="1:6" x14ac:dyDescent="0.3">
      <c r="A40" s="46" t="s">
        <v>168</v>
      </c>
      <c r="B40" s="136" t="s">
        <v>169</v>
      </c>
      <c r="C40" s="136"/>
      <c r="D40" s="136"/>
      <c r="E40" s="136"/>
      <c r="F40" s="103">
        <v>218.14</v>
      </c>
    </row>
    <row r="41" spans="1:6" x14ac:dyDescent="0.3">
      <c r="A41" s="141" t="s">
        <v>170</v>
      </c>
      <c r="B41" s="141"/>
      <c r="C41" s="141"/>
      <c r="D41" s="141"/>
      <c r="E41" s="141"/>
      <c r="F41" s="48">
        <f>TRUNC(SUM(F34:F39),2)</f>
        <v>7792.93</v>
      </c>
    </row>
    <row r="42" spans="1:6" x14ac:dyDescent="0.3">
      <c r="A42" s="139"/>
      <c r="B42" s="139"/>
      <c r="C42" s="139"/>
      <c r="D42" s="139"/>
      <c r="E42" s="139"/>
      <c r="F42" s="139"/>
    </row>
    <row r="43" spans="1:6" x14ac:dyDescent="0.3">
      <c r="A43" s="141" t="s">
        <v>171</v>
      </c>
      <c r="B43" s="141"/>
      <c r="C43" s="141"/>
      <c r="D43" s="141"/>
      <c r="E43" s="141"/>
      <c r="F43" s="141"/>
    </row>
    <row r="44" spans="1:6" x14ac:dyDescent="0.3">
      <c r="A44" s="143" t="s">
        <v>273</v>
      </c>
      <c r="B44" s="143"/>
      <c r="C44" s="143"/>
      <c r="D44" s="143"/>
      <c r="E44" s="143"/>
      <c r="F44" s="143"/>
    </row>
    <row r="45" spans="1:6" x14ac:dyDescent="0.3">
      <c r="A45" s="40" t="s">
        <v>173</v>
      </c>
      <c r="B45" s="138" t="s">
        <v>174</v>
      </c>
      <c r="C45" s="138"/>
      <c r="D45" s="138"/>
      <c r="E45" s="45" t="s">
        <v>175</v>
      </c>
      <c r="F45" s="45" t="s">
        <v>155</v>
      </c>
    </row>
    <row r="46" spans="1:6" x14ac:dyDescent="0.3">
      <c r="A46" s="49" t="s">
        <v>156</v>
      </c>
      <c r="B46" s="146" t="s">
        <v>176</v>
      </c>
      <c r="C46" s="146"/>
      <c r="D46" s="146"/>
      <c r="E46" s="50">
        <f>TRUNC((100/12),2)</f>
        <v>8.33</v>
      </c>
      <c r="F46" s="51">
        <f>TRUNC((F41*E46%),2)</f>
        <v>649.15</v>
      </c>
    </row>
    <row r="47" spans="1:6" x14ac:dyDescent="0.3">
      <c r="A47" s="52" t="s">
        <v>158</v>
      </c>
      <c r="B47" s="147" t="s">
        <v>177</v>
      </c>
      <c r="C47" s="147"/>
      <c r="D47" s="147"/>
      <c r="E47" s="53">
        <f>E46/3</f>
        <v>2.7766666666666668</v>
      </c>
      <c r="F47" s="54">
        <f>TRUNC((F41*E47%),2)</f>
        <v>216.38</v>
      </c>
    </row>
    <row r="48" spans="1:6" x14ac:dyDescent="0.3">
      <c r="A48" s="141" t="s">
        <v>178</v>
      </c>
      <c r="B48" s="141"/>
      <c r="C48" s="141"/>
      <c r="D48" s="141"/>
      <c r="E48" s="55">
        <f>SUM(E46:E47)</f>
        <v>11.106666666666667</v>
      </c>
      <c r="F48" s="48">
        <f>TRUNC((SUM(F46:F47)),2)</f>
        <v>865.53</v>
      </c>
    </row>
    <row r="49" spans="1:6" x14ac:dyDescent="0.3">
      <c r="A49" s="143" t="s">
        <v>179</v>
      </c>
      <c r="B49" s="143"/>
      <c r="C49" s="143"/>
      <c r="D49" s="143"/>
      <c r="E49" s="143"/>
      <c r="F49" s="143"/>
    </row>
    <row r="50" spans="1:6" x14ac:dyDescent="0.3">
      <c r="A50" s="40" t="s">
        <v>180</v>
      </c>
      <c r="B50" s="135" t="s">
        <v>181</v>
      </c>
      <c r="C50" s="135"/>
      <c r="D50" s="135"/>
      <c r="E50" s="45" t="s">
        <v>175</v>
      </c>
      <c r="F50" s="45" t="s">
        <v>155</v>
      </c>
    </row>
    <row r="51" spans="1:6" x14ac:dyDescent="0.3">
      <c r="A51" s="49" t="s">
        <v>156</v>
      </c>
      <c r="B51" s="146" t="s">
        <v>182</v>
      </c>
      <c r="C51" s="146"/>
      <c r="D51" s="146"/>
      <c r="E51" s="56">
        <v>0.2</v>
      </c>
      <c r="F51" s="51">
        <f t="shared" ref="F51:F58" si="0">TRUNC((($F$41+$F$48)*E51),2)</f>
        <v>1731.69</v>
      </c>
    </row>
    <row r="52" spans="1:6" x14ac:dyDescent="0.3">
      <c r="A52" s="52" t="s">
        <v>158</v>
      </c>
      <c r="B52" s="147" t="s">
        <v>183</v>
      </c>
      <c r="C52" s="147"/>
      <c r="D52" s="147"/>
      <c r="E52" s="57">
        <v>2.5000000000000001E-2</v>
      </c>
      <c r="F52" s="54">
        <f t="shared" si="0"/>
        <v>216.46</v>
      </c>
    </row>
    <row r="53" spans="1:6" x14ac:dyDescent="0.3">
      <c r="A53" s="58" t="s">
        <v>160</v>
      </c>
      <c r="B53" s="146" t="s">
        <v>184</v>
      </c>
      <c r="C53" s="146"/>
      <c r="D53" s="146"/>
      <c r="E53" s="104">
        <v>0.03</v>
      </c>
      <c r="F53" s="51">
        <f t="shared" si="0"/>
        <v>259.75</v>
      </c>
    </row>
    <row r="54" spans="1:6" x14ac:dyDescent="0.3">
      <c r="A54" s="52" t="s">
        <v>162</v>
      </c>
      <c r="B54" s="147" t="s">
        <v>185</v>
      </c>
      <c r="C54" s="147"/>
      <c r="D54" s="147"/>
      <c r="E54" s="57">
        <v>1.4999999999999999E-2</v>
      </c>
      <c r="F54" s="54">
        <f t="shared" si="0"/>
        <v>129.87</v>
      </c>
    </row>
    <row r="55" spans="1:6" x14ac:dyDescent="0.3">
      <c r="A55" s="49" t="s">
        <v>164</v>
      </c>
      <c r="B55" s="146" t="s">
        <v>186</v>
      </c>
      <c r="C55" s="146"/>
      <c r="D55" s="146"/>
      <c r="E55" s="56">
        <v>0.01</v>
      </c>
      <c r="F55" s="51">
        <f t="shared" si="0"/>
        <v>86.58</v>
      </c>
    </row>
    <row r="56" spans="1:6" x14ac:dyDescent="0.3">
      <c r="A56" s="52" t="s">
        <v>166</v>
      </c>
      <c r="B56" s="147" t="s">
        <v>187</v>
      </c>
      <c r="C56" s="147"/>
      <c r="D56" s="147"/>
      <c r="E56" s="57">
        <v>6.0000000000000001E-3</v>
      </c>
      <c r="F56" s="54">
        <f t="shared" si="0"/>
        <v>51.95</v>
      </c>
    </row>
    <row r="57" spans="1:6" x14ac:dyDescent="0.3">
      <c r="A57" s="49" t="s">
        <v>168</v>
      </c>
      <c r="B57" s="146" t="s">
        <v>188</v>
      </c>
      <c r="C57" s="146"/>
      <c r="D57" s="146"/>
      <c r="E57" s="56">
        <v>2E-3</v>
      </c>
      <c r="F57" s="51">
        <f t="shared" si="0"/>
        <v>17.309999999999999</v>
      </c>
    </row>
    <row r="58" spans="1:6" x14ac:dyDescent="0.3">
      <c r="A58" s="52" t="s">
        <v>189</v>
      </c>
      <c r="B58" s="147" t="s">
        <v>190</v>
      </c>
      <c r="C58" s="147"/>
      <c r="D58" s="147"/>
      <c r="E58" s="57">
        <v>0.08</v>
      </c>
      <c r="F58" s="54">
        <f t="shared" si="0"/>
        <v>692.67</v>
      </c>
    </row>
    <row r="59" spans="1:6" x14ac:dyDescent="0.3">
      <c r="A59" s="141" t="s">
        <v>191</v>
      </c>
      <c r="B59" s="141"/>
      <c r="C59" s="141"/>
      <c r="D59" s="141"/>
      <c r="E59" s="59">
        <f>SUM(E51:E58)</f>
        <v>0.36800000000000005</v>
      </c>
      <c r="F59" s="48">
        <f>TRUNC((SUM(F51:F58)),2)</f>
        <v>3186.28</v>
      </c>
    </row>
    <row r="60" spans="1:6" x14ac:dyDescent="0.3">
      <c r="A60" s="143" t="s">
        <v>192</v>
      </c>
      <c r="B60" s="143"/>
      <c r="C60" s="143"/>
      <c r="D60" s="143"/>
      <c r="E60" s="143"/>
      <c r="F60" s="143"/>
    </row>
    <row r="61" spans="1:6" x14ac:dyDescent="0.3">
      <c r="A61" s="6" t="s">
        <v>193</v>
      </c>
      <c r="B61" s="143" t="s">
        <v>194</v>
      </c>
      <c r="C61" s="143"/>
      <c r="D61" s="143"/>
      <c r="E61" s="143"/>
      <c r="F61" s="143"/>
    </row>
    <row r="62" spans="1:6" x14ac:dyDescent="0.3">
      <c r="A62" s="144" t="s">
        <v>156</v>
      </c>
      <c r="B62" s="40" t="s">
        <v>195</v>
      </c>
      <c r="C62" s="40" t="s">
        <v>196</v>
      </c>
      <c r="D62" s="40" t="s">
        <v>197</v>
      </c>
      <c r="E62" s="40" t="s">
        <v>198</v>
      </c>
      <c r="F62" s="40" t="s">
        <v>155</v>
      </c>
    </row>
    <row r="63" spans="1:6" x14ac:dyDescent="0.3">
      <c r="A63" s="144"/>
      <c r="B63" s="44">
        <f>'Salários.VA.VT.QteDias'!C19</f>
        <v>3</v>
      </c>
      <c r="C63" s="40">
        <v>2</v>
      </c>
      <c r="D63" s="40">
        <f>'Salários.VA.VT.QteDias'!C34</f>
        <v>1</v>
      </c>
      <c r="E63" s="44">
        <f>TRUNC(($F$34*6%),2)</f>
        <v>101.68</v>
      </c>
      <c r="F63" s="44">
        <f>TRUNC(IF(E63&gt;=6,0,((B63*C63*D63)-E63)),2)</f>
        <v>0</v>
      </c>
    </row>
    <row r="64" spans="1:6" x14ac:dyDescent="0.3">
      <c r="A64" s="137" t="s">
        <v>158</v>
      </c>
      <c r="B64" s="137" t="s">
        <v>199</v>
      </c>
      <c r="C64" s="137"/>
      <c r="D64" s="46" t="s">
        <v>197</v>
      </c>
      <c r="E64" s="46" t="s">
        <v>198</v>
      </c>
      <c r="F64" s="46" t="s">
        <v>155</v>
      </c>
    </row>
    <row r="65" spans="1:8" x14ac:dyDescent="0.3">
      <c r="A65" s="137"/>
      <c r="B65" s="152">
        <f>'Salários.VA.VT.QteDias'!B19</f>
        <v>26.53</v>
      </c>
      <c r="C65" s="152"/>
      <c r="D65" s="46">
        <f>'Salários.VA.VT.QteDias'!C34</f>
        <v>1</v>
      </c>
      <c r="E65" s="47">
        <f>TRUNC(0.1*(B65*D65),2)</f>
        <v>2.65</v>
      </c>
      <c r="F65" s="47">
        <f>TRUNC(((B65*D65)-E65),2)</f>
        <v>23.88</v>
      </c>
    </row>
    <row r="66" spans="1:8" x14ac:dyDescent="0.3">
      <c r="A66" s="144" t="s">
        <v>160</v>
      </c>
      <c r="B66" s="151" t="s">
        <v>200</v>
      </c>
      <c r="C66" s="151"/>
      <c r="D66" s="151"/>
      <c r="E66" s="151"/>
      <c r="F66" s="40" t="s">
        <v>155</v>
      </c>
    </row>
    <row r="67" spans="1:8" x14ac:dyDescent="0.3">
      <c r="A67" s="144"/>
      <c r="B67" s="151"/>
      <c r="C67" s="151"/>
      <c r="D67" s="151"/>
      <c r="E67" s="151"/>
      <c r="F67" s="102">
        <v>0</v>
      </c>
    </row>
    <row r="68" spans="1:8" x14ac:dyDescent="0.3">
      <c r="A68" s="137" t="s">
        <v>162</v>
      </c>
      <c r="B68" s="150" t="s">
        <v>201</v>
      </c>
      <c r="C68" s="150"/>
      <c r="D68" s="150"/>
      <c r="E68" s="150"/>
      <c r="F68" s="46" t="s">
        <v>155</v>
      </c>
    </row>
    <row r="69" spans="1:8" x14ac:dyDescent="0.3">
      <c r="A69" s="137"/>
      <c r="B69" s="150"/>
      <c r="C69" s="150"/>
      <c r="D69" s="150"/>
      <c r="E69" s="150"/>
      <c r="F69" s="103">
        <v>0</v>
      </c>
    </row>
    <row r="70" spans="1:8" x14ac:dyDescent="0.3">
      <c r="A70" s="144" t="s">
        <v>164</v>
      </c>
      <c r="B70" s="151" t="s">
        <v>202</v>
      </c>
      <c r="C70" s="151"/>
      <c r="D70" s="151"/>
      <c r="E70" s="151"/>
      <c r="F70" s="40" t="s">
        <v>155</v>
      </c>
    </row>
    <row r="71" spans="1:8" x14ac:dyDescent="0.3">
      <c r="A71" s="144"/>
      <c r="B71" s="151"/>
      <c r="C71" s="151"/>
      <c r="D71" s="151"/>
      <c r="E71" s="151"/>
      <c r="F71" s="102">
        <v>0</v>
      </c>
    </row>
    <row r="72" spans="1:8" x14ac:dyDescent="0.3">
      <c r="A72" s="141" t="s">
        <v>203</v>
      </c>
      <c r="B72" s="141"/>
      <c r="C72" s="141"/>
      <c r="D72" s="141"/>
      <c r="E72" s="141"/>
      <c r="F72" s="48">
        <f>TRUNC(SUM(F63,F65,F67,F69,F71),2)</f>
        <v>23.88</v>
      </c>
    </row>
    <row r="73" spans="1:8" x14ac:dyDescent="0.3">
      <c r="A73" s="143" t="s">
        <v>204</v>
      </c>
      <c r="B73" s="143"/>
      <c r="C73" s="143"/>
      <c r="D73" s="143"/>
      <c r="E73" s="143"/>
      <c r="F73" s="143"/>
    </row>
    <row r="74" spans="1:8" x14ac:dyDescent="0.3">
      <c r="A74" s="40" t="s">
        <v>205</v>
      </c>
      <c r="B74" s="135" t="s">
        <v>206</v>
      </c>
      <c r="C74" s="135"/>
      <c r="D74" s="135"/>
      <c r="E74" s="135"/>
      <c r="F74" s="40" t="s">
        <v>155</v>
      </c>
      <c r="H74" s="60"/>
    </row>
    <row r="75" spans="1:8" x14ac:dyDescent="0.3">
      <c r="A75" s="46" t="s">
        <v>173</v>
      </c>
      <c r="B75" s="136" t="s">
        <v>207</v>
      </c>
      <c r="C75" s="136"/>
      <c r="D75" s="136"/>
      <c r="E75" s="136"/>
      <c r="F75" s="47">
        <f>$F$48</f>
        <v>865.53</v>
      </c>
    </row>
    <row r="76" spans="1:8" x14ac:dyDescent="0.3">
      <c r="A76" s="40" t="s">
        <v>180</v>
      </c>
      <c r="B76" s="135" t="s">
        <v>208</v>
      </c>
      <c r="C76" s="135"/>
      <c r="D76" s="135"/>
      <c r="E76" s="135"/>
      <c r="F76" s="44">
        <f>$F$59</f>
        <v>3186.28</v>
      </c>
    </row>
    <row r="77" spans="1:8" x14ac:dyDescent="0.3">
      <c r="A77" s="46" t="s">
        <v>193</v>
      </c>
      <c r="B77" s="136" t="s">
        <v>194</v>
      </c>
      <c r="C77" s="136"/>
      <c r="D77" s="136"/>
      <c r="E77" s="136"/>
      <c r="F77" s="47">
        <f>$F$72</f>
        <v>23.88</v>
      </c>
    </row>
    <row r="78" spans="1:8" x14ac:dyDescent="0.3">
      <c r="A78" s="141" t="s">
        <v>209</v>
      </c>
      <c r="B78" s="141"/>
      <c r="C78" s="141"/>
      <c r="D78" s="141"/>
      <c r="E78" s="141"/>
      <c r="F78" s="48">
        <f>TRUNC(SUM(F75:F77),2)</f>
        <v>4075.69</v>
      </c>
    </row>
    <row r="79" spans="1:8" x14ac:dyDescent="0.3">
      <c r="A79" s="139"/>
      <c r="B79" s="139"/>
      <c r="C79" s="139"/>
      <c r="D79" s="139"/>
      <c r="E79" s="139"/>
      <c r="F79" s="139"/>
    </row>
    <row r="80" spans="1:8" x14ac:dyDescent="0.3">
      <c r="A80" s="161" t="s">
        <v>210</v>
      </c>
      <c r="B80" s="161"/>
      <c r="C80" s="161"/>
      <c r="D80" s="161"/>
      <c r="E80" s="161"/>
      <c r="F80" s="161"/>
    </row>
    <row r="81" spans="1:6" x14ac:dyDescent="0.3">
      <c r="A81" s="40">
        <v>3</v>
      </c>
      <c r="B81" s="135" t="s">
        <v>211</v>
      </c>
      <c r="C81" s="135"/>
      <c r="D81" s="135"/>
      <c r="E81" s="45" t="s">
        <v>175</v>
      </c>
      <c r="F81" s="45" t="s">
        <v>155</v>
      </c>
    </row>
    <row r="82" spans="1:6" x14ac:dyDescent="0.3">
      <c r="A82" s="49" t="s">
        <v>156</v>
      </c>
      <c r="B82" s="146" t="s">
        <v>212</v>
      </c>
      <c r="C82" s="146"/>
      <c r="D82" s="146"/>
      <c r="E82" s="104">
        <f>(56.24%)*5.55%*(1/12)</f>
        <v>2.6010999999999999E-3</v>
      </c>
      <c r="F82" s="51">
        <f>TRUNC((($F$41+$F$48)*E82),2)</f>
        <v>22.52</v>
      </c>
    </row>
    <row r="83" spans="1:6" x14ac:dyDescent="0.3">
      <c r="A83" s="52" t="s">
        <v>158</v>
      </c>
      <c r="B83" s="147" t="s">
        <v>213</v>
      </c>
      <c r="C83" s="147"/>
      <c r="D83" s="147"/>
      <c r="E83" s="105">
        <f>(8%*0.29%)</f>
        <v>2.32E-4</v>
      </c>
      <c r="F83" s="61">
        <f>TRUNC((($F$41+$F$48)*E83),2)</f>
        <v>2</v>
      </c>
    </row>
    <row r="84" spans="1:6" ht="16.5" customHeight="1" x14ac:dyDescent="0.3">
      <c r="A84" s="49" t="s">
        <v>160</v>
      </c>
      <c r="B84" s="149" t="s">
        <v>214</v>
      </c>
      <c r="C84" s="149"/>
      <c r="D84" s="149"/>
      <c r="E84" s="104">
        <f>(56.24%)*5.55%*40%*8%</f>
        <v>9.9882240000000004E-4</v>
      </c>
      <c r="F84" s="51">
        <f>TRUNC((($F$41+$F$48)*E84),2)</f>
        <v>8.64</v>
      </c>
    </row>
    <row r="85" spans="1:6" x14ac:dyDescent="0.3">
      <c r="A85" s="52" t="s">
        <v>162</v>
      </c>
      <c r="B85" s="147" t="s">
        <v>215</v>
      </c>
      <c r="C85" s="147"/>
      <c r="D85" s="147"/>
      <c r="E85" s="105">
        <f>((56.24%)*94.45%*(7/30)/12)</f>
        <v>1.0328632222222222E-2</v>
      </c>
      <c r="F85" s="61">
        <f>TRUNC((($F$41+$F$48)*E85),2)</f>
        <v>89.43</v>
      </c>
    </row>
    <row r="86" spans="1:6" x14ac:dyDescent="0.3">
      <c r="A86" s="51" t="s">
        <v>164</v>
      </c>
      <c r="B86" s="148" t="s">
        <v>216</v>
      </c>
      <c r="C86" s="148"/>
      <c r="D86" s="148"/>
      <c r="E86" s="104">
        <f>1.03%*36.8%</f>
        <v>3.7904000000000002E-3</v>
      </c>
      <c r="F86" s="51">
        <f>TRUNC((($F$41+$F$48)*E86),2)</f>
        <v>32.81</v>
      </c>
    </row>
    <row r="87" spans="1:6" x14ac:dyDescent="0.3">
      <c r="A87" s="52" t="s">
        <v>166</v>
      </c>
      <c r="B87" s="147" t="s">
        <v>217</v>
      </c>
      <c r="C87" s="147"/>
      <c r="D87" s="147"/>
      <c r="E87" s="105">
        <f>(56.24%)*94.45%*40%*8%</f>
        <v>1.6997977600000002E-2</v>
      </c>
      <c r="F87" s="61">
        <f>TRUNC((($F$41+F48)*E87),2)</f>
        <v>147.16999999999999</v>
      </c>
    </row>
    <row r="88" spans="1:6" x14ac:dyDescent="0.3">
      <c r="A88" s="141" t="s">
        <v>218</v>
      </c>
      <c r="B88" s="141"/>
      <c r="C88" s="141"/>
      <c r="D88" s="141"/>
      <c r="E88" s="59">
        <f>SUM(E82:E87)</f>
        <v>3.4948932222222229E-2</v>
      </c>
      <c r="F88" s="48">
        <f>TRUNC(SUM(F82:F87),2)</f>
        <v>302.57</v>
      </c>
    </row>
    <row r="89" spans="1:6" x14ac:dyDescent="0.3">
      <c r="A89" s="139"/>
      <c r="B89" s="139"/>
      <c r="C89" s="139"/>
      <c r="D89" s="139"/>
      <c r="E89" s="139"/>
      <c r="F89" s="139"/>
    </row>
    <row r="90" spans="1:6" x14ac:dyDescent="0.3">
      <c r="A90" s="141" t="s">
        <v>219</v>
      </c>
      <c r="B90" s="141"/>
      <c r="C90" s="141"/>
      <c r="D90" s="141"/>
      <c r="E90" s="141"/>
      <c r="F90" s="141"/>
    </row>
    <row r="91" spans="1:6" x14ac:dyDescent="0.3">
      <c r="A91" s="143" t="s">
        <v>220</v>
      </c>
      <c r="B91" s="143"/>
      <c r="C91" s="143"/>
      <c r="D91" s="143"/>
      <c r="E91" s="143"/>
      <c r="F91" s="143"/>
    </row>
    <row r="92" spans="1:6" x14ac:dyDescent="0.3">
      <c r="A92" s="40" t="s">
        <v>221</v>
      </c>
      <c r="B92" s="135" t="s">
        <v>222</v>
      </c>
      <c r="C92" s="135"/>
      <c r="D92" s="135"/>
      <c r="E92" s="45" t="s">
        <v>175</v>
      </c>
      <c r="F92" s="45" t="s">
        <v>155</v>
      </c>
    </row>
    <row r="93" spans="1:6" x14ac:dyDescent="0.3">
      <c r="A93" s="49" t="s">
        <v>156</v>
      </c>
      <c r="B93" s="146" t="s">
        <v>274</v>
      </c>
      <c r="C93" s="146"/>
      <c r="D93" s="146"/>
      <c r="E93" s="56"/>
      <c r="F93" s="62">
        <f t="shared" ref="F93:F98" si="1">TRUNC((($F$41+$F$78)*E93),2)</f>
        <v>0</v>
      </c>
    </row>
    <row r="94" spans="1:6" x14ac:dyDescent="0.3">
      <c r="A94" s="52" t="s">
        <v>158</v>
      </c>
      <c r="B94" s="147" t="s">
        <v>275</v>
      </c>
      <c r="C94" s="147"/>
      <c r="D94" s="147"/>
      <c r="E94" s="105">
        <f>(8/30)/12</f>
        <v>2.2222222222222223E-2</v>
      </c>
      <c r="F94" s="61">
        <f t="shared" si="1"/>
        <v>263.74</v>
      </c>
    </row>
    <row r="95" spans="1:6" x14ac:dyDescent="0.3">
      <c r="A95" s="49" t="s">
        <v>160</v>
      </c>
      <c r="B95" s="146" t="s">
        <v>276</v>
      </c>
      <c r="C95" s="146"/>
      <c r="D95" s="146"/>
      <c r="E95" s="104">
        <f>(((20/30)/12)*1.416%*45.22%)</f>
        <v>3.557306666666666E-4</v>
      </c>
      <c r="F95" s="62">
        <f t="shared" si="1"/>
        <v>4.22</v>
      </c>
    </row>
    <row r="96" spans="1:6" x14ac:dyDescent="0.3">
      <c r="A96" s="52" t="s">
        <v>162</v>
      </c>
      <c r="B96" s="147" t="s">
        <v>277</v>
      </c>
      <c r="C96" s="147"/>
      <c r="D96" s="147"/>
      <c r="E96" s="105">
        <f>((15/30)/12)*0.44%</f>
        <v>1.8333333333333334E-4</v>
      </c>
      <c r="F96" s="61">
        <f t="shared" si="1"/>
        <v>2.17</v>
      </c>
    </row>
    <row r="97" spans="1:6" x14ac:dyDescent="0.3">
      <c r="A97" s="49" t="s">
        <v>164</v>
      </c>
      <c r="B97" s="146" t="s">
        <v>278</v>
      </c>
      <c r="C97" s="146"/>
      <c r="D97" s="146"/>
      <c r="E97" s="104">
        <f>(((180/30)/12*1.416%*54.78%*36.8%))</f>
        <v>1.4272600319999999E-3</v>
      </c>
      <c r="F97" s="62">
        <f t="shared" si="1"/>
        <v>16.93</v>
      </c>
    </row>
    <row r="98" spans="1:6" x14ac:dyDescent="0.3">
      <c r="A98" s="52" t="s">
        <v>166</v>
      </c>
      <c r="B98" s="147" t="s">
        <v>279</v>
      </c>
      <c r="C98" s="147"/>
      <c r="D98" s="147"/>
      <c r="E98" s="105">
        <v>0</v>
      </c>
      <c r="F98" s="61">
        <f t="shared" si="1"/>
        <v>0</v>
      </c>
    </row>
    <row r="99" spans="1:6" x14ac:dyDescent="0.3">
      <c r="A99" s="141" t="s">
        <v>229</v>
      </c>
      <c r="B99" s="141"/>
      <c r="C99" s="141"/>
      <c r="D99" s="141"/>
      <c r="E99" s="59">
        <f>SUM(E93:E98)</f>
        <v>2.4188546254222225E-2</v>
      </c>
      <c r="F99" s="48">
        <f>TRUNC(SUM(F93:F98),2)</f>
        <v>287.06</v>
      </c>
    </row>
    <row r="100" spans="1:6" x14ac:dyDescent="0.3">
      <c r="A100" s="143" t="s">
        <v>230</v>
      </c>
      <c r="B100" s="143"/>
      <c r="C100" s="143"/>
      <c r="D100" s="143"/>
      <c r="E100" s="143"/>
      <c r="F100" s="143"/>
    </row>
    <row r="101" spans="1:6" x14ac:dyDescent="0.3">
      <c r="A101" s="40" t="s">
        <v>231</v>
      </c>
      <c r="B101" s="135" t="s">
        <v>232</v>
      </c>
      <c r="C101" s="135"/>
      <c r="D101" s="135"/>
      <c r="E101" s="45" t="s">
        <v>175</v>
      </c>
      <c r="F101" s="45" t="s">
        <v>155</v>
      </c>
    </row>
    <row r="102" spans="1:6" x14ac:dyDescent="0.3">
      <c r="A102" s="49" t="s">
        <v>156</v>
      </c>
      <c r="B102" s="146" t="s">
        <v>280</v>
      </c>
      <c r="C102" s="146"/>
      <c r="D102" s="146"/>
      <c r="E102" s="63" t="s">
        <v>234</v>
      </c>
      <c r="F102" s="51">
        <v>0</v>
      </c>
    </row>
    <row r="103" spans="1:6" x14ac:dyDescent="0.3">
      <c r="A103" s="143" t="s">
        <v>235</v>
      </c>
      <c r="B103" s="143"/>
      <c r="C103" s="143"/>
      <c r="D103" s="143"/>
      <c r="E103" s="143"/>
      <c r="F103" s="143"/>
    </row>
    <row r="104" spans="1:6" x14ac:dyDescent="0.3">
      <c r="A104" s="40" t="s">
        <v>236</v>
      </c>
      <c r="B104" s="135" t="s">
        <v>237</v>
      </c>
      <c r="C104" s="135"/>
      <c r="D104" s="135"/>
      <c r="E104" s="135"/>
      <c r="F104" s="45" t="s">
        <v>155</v>
      </c>
    </row>
    <row r="105" spans="1:6" x14ac:dyDescent="0.3">
      <c r="A105" s="46" t="s">
        <v>221</v>
      </c>
      <c r="B105" s="136" t="s">
        <v>222</v>
      </c>
      <c r="C105" s="136"/>
      <c r="D105" s="136"/>
      <c r="E105" s="136"/>
      <c r="F105" s="47">
        <f>$F$99</f>
        <v>287.06</v>
      </c>
    </row>
    <row r="106" spans="1:6" x14ac:dyDescent="0.3">
      <c r="A106" s="40" t="s">
        <v>231</v>
      </c>
      <c r="B106" s="135" t="s">
        <v>232</v>
      </c>
      <c r="C106" s="135"/>
      <c r="D106" s="135"/>
      <c r="E106" s="135"/>
      <c r="F106" s="44">
        <v>0</v>
      </c>
    </row>
    <row r="107" spans="1:6" x14ac:dyDescent="0.3">
      <c r="A107" s="141" t="s">
        <v>238</v>
      </c>
      <c r="B107" s="141"/>
      <c r="C107" s="141"/>
      <c r="D107" s="141"/>
      <c r="E107" s="141"/>
      <c r="F107" s="48">
        <f>TRUNC(SUM(F105+F106),2)</f>
        <v>287.06</v>
      </c>
    </row>
    <row r="108" spans="1:6" x14ac:dyDescent="0.3">
      <c r="A108" s="139"/>
      <c r="B108" s="139"/>
      <c r="C108" s="139"/>
      <c r="D108" s="139"/>
      <c r="E108" s="139"/>
      <c r="F108" s="139"/>
    </row>
    <row r="109" spans="1:6" x14ac:dyDescent="0.3">
      <c r="A109" s="141" t="s">
        <v>239</v>
      </c>
      <c r="B109" s="141"/>
      <c r="C109" s="141"/>
      <c r="D109" s="141"/>
      <c r="E109" s="141"/>
      <c r="F109" s="141"/>
    </row>
    <row r="110" spans="1:6" x14ac:dyDescent="0.3">
      <c r="A110" s="40">
        <v>5</v>
      </c>
      <c r="B110" s="135" t="s">
        <v>240</v>
      </c>
      <c r="C110" s="135"/>
      <c r="D110" s="135"/>
      <c r="E110" s="135"/>
      <c r="F110" s="45" t="s">
        <v>155</v>
      </c>
    </row>
    <row r="111" spans="1:6" x14ac:dyDescent="0.3">
      <c r="A111" s="46" t="s">
        <v>156</v>
      </c>
      <c r="B111" s="136" t="s">
        <v>11</v>
      </c>
      <c r="C111" s="136"/>
      <c r="D111" s="136"/>
      <c r="E111" s="136"/>
      <c r="F111" s="47">
        <f>Unif!I19</f>
        <v>29.34</v>
      </c>
    </row>
    <row r="112" spans="1:6" x14ac:dyDescent="0.3">
      <c r="A112" s="40" t="s">
        <v>158</v>
      </c>
      <c r="B112" s="135" t="s">
        <v>241</v>
      </c>
      <c r="C112" s="135"/>
      <c r="D112" s="135"/>
      <c r="E112" s="135"/>
      <c r="F112" s="44">
        <v>0</v>
      </c>
    </row>
    <row r="113" spans="1:6" x14ac:dyDescent="0.3">
      <c r="A113" s="46" t="s">
        <v>160</v>
      </c>
      <c r="B113" s="136" t="s">
        <v>281</v>
      </c>
      <c r="C113" s="136"/>
      <c r="D113" s="136"/>
      <c r="E113" s="136"/>
      <c r="F113" s="74"/>
    </row>
    <row r="114" spans="1:6" x14ac:dyDescent="0.3">
      <c r="A114" s="52" t="s">
        <v>162</v>
      </c>
      <c r="B114" s="147" t="s">
        <v>282</v>
      </c>
      <c r="C114" s="147"/>
      <c r="D114" s="147"/>
      <c r="E114" s="147"/>
      <c r="F114" s="44">
        <f>EPIs!F15</f>
        <v>36.08</v>
      </c>
    </row>
    <row r="115" spans="1:6" x14ac:dyDescent="0.3">
      <c r="A115" s="141" t="s">
        <v>244</v>
      </c>
      <c r="B115" s="141"/>
      <c r="C115" s="141"/>
      <c r="D115" s="141"/>
      <c r="E115" s="141"/>
      <c r="F115" s="48">
        <f>TRUNC(SUM(F111:F114),2)</f>
        <v>65.42</v>
      </c>
    </row>
    <row r="116" spans="1:6" x14ac:dyDescent="0.3">
      <c r="A116" s="139"/>
      <c r="B116" s="139"/>
      <c r="C116" s="139"/>
      <c r="D116" s="139"/>
      <c r="E116" s="139"/>
      <c r="F116" s="139"/>
    </row>
    <row r="117" spans="1:6" x14ac:dyDescent="0.3">
      <c r="A117" s="141" t="s">
        <v>245</v>
      </c>
      <c r="B117" s="141"/>
      <c r="C117" s="141"/>
      <c r="D117" s="141"/>
      <c r="E117" s="141"/>
      <c r="F117" s="141"/>
    </row>
    <row r="118" spans="1:6" x14ac:dyDescent="0.3">
      <c r="A118" s="144" t="s">
        <v>246</v>
      </c>
      <c r="B118" s="144"/>
      <c r="C118" s="144"/>
      <c r="D118" s="144"/>
      <c r="E118" s="45" t="s">
        <v>175</v>
      </c>
      <c r="F118" s="64" t="s">
        <v>155</v>
      </c>
    </row>
    <row r="119" spans="1:6" x14ac:dyDescent="0.3">
      <c r="A119" s="46" t="s">
        <v>156</v>
      </c>
      <c r="B119" s="136" t="s">
        <v>247</v>
      </c>
      <c r="C119" s="136"/>
      <c r="D119" s="136"/>
      <c r="E119" s="65">
        <f>'Salários.VA.VT.QteDias'!$D$46</f>
        <v>4.7300000000000002E-2</v>
      </c>
      <c r="F119" s="51">
        <f>TRUNC(($F$134*$E$119),2)</f>
        <v>592.36</v>
      </c>
    </row>
    <row r="120" spans="1:6" x14ac:dyDescent="0.3">
      <c r="A120" s="40" t="s">
        <v>158</v>
      </c>
      <c r="B120" s="135" t="s">
        <v>248</v>
      </c>
      <c r="C120" s="135"/>
      <c r="D120" s="135"/>
      <c r="E120" s="66">
        <f>'Salários.VA.VT.QteDias'!$D$47</f>
        <v>5.57E-2</v>
      </c>
      <c r="F120" s="54">
        <f>TRUNC((($F$134+$F$119)*E120),2)</f>
        <v>730.56</v>
      </c>
    </row>
    <row r="121" spans="1:6" x14ac:dyDescent="0.3">
      <c r="A121" s="145" t="s">
        <v>249</v>
      </c>
      <c r="B121" s="145"/>
      <c r="C121" s="145"/>
      <c r="D121" s="145"/>
      <c r="E121" s="67" t="s">
        <v>175</v>
      </c>
      <c r="F121" s="68" t="s">
        <v>155</v>
      </c>
    </row>
    <row r="122" spans="1:6" x14ac:dyDescent="0.3">
      <c r="A122" s="40" t="s">
        <v>156</v>
      </c>
      <c r="B122" s="135" t="s">
        <v>50</v>
      </c>
      <c r="C122" s="135"/>
      <c r="D122" s="135"/>
      <c r="E122" s="106">
        <v>6.4999999999999997E-3</v>
      </c>
      <c r="F122" s="54">
        <f>TRUNC(((($F$134+$F$119+$F$120)/0.9135)*E122),2)</f>
        <v>98.52</v>
      </c>
    </row>
    <row r="123" spans="1:6" x14ac:dyDescent="0.3">
      <c r="A123" s="41" t="s">
        <v>158</v>
      </c>
      <c r="B123" s="140" t="s">
        <v>250</v>
      </c>
      <c r="C123" s="140"/>
      <c r="D123" s="140"/>
      <c r="E123" s="107">
        <v>0.03</v>
      </c>
      <c r="F123" s="69">
        <f>TRUNC(((($F$134+$F$119+$F$120)/0.9135)*E123),2)</f>
        <v>454.73</v>
      </c>
    </row>
    <row r="124" spans="1:6" x14ac:dyDescent="0.3">
      <c r="A124" s="40" t="s">
        <v>160</v>
      </c>
      <c r="B124" s="135" t="s">
        <v>52</v>
      </c>
      <c r="C124" s="135"/>
      <c r="D124" s="135"/>
      <c r="E124" s="106">
        <v>0.05</v>
      </c>
      <c r="F124" s="54">
        <f>TRUNC(((($F$134+$F$119+$F$120)/0.9135)*E124),2)</f>
        <v>757.88</v>
      </c>
    </row>
    <row r="125" spans="1:6" x14ac:dyDescent="0.3">
      <c r="A125" s="141" t="s">
        <v>251</v>
      </c>
      <c r="B125" s="141"/>
      <c r="C125" s="141"/>
      <c r="D125" s="141"/>
      <c r="E125" s="59">
        <f>SUM(E122:E124)</f>
        <v>8.6499999999999994E-2</v>
      </c>
      <c r="F125" s="48">
        <f>TRUNC(SUM($F$119,$F$120,$F$122,$F$123,$F$124),2)</f>
        <v>2634.05</v>
      </c>
    </row>
    <row r="126" spans="1:6" x14ac:dyDescent="0.3">
      <c r="A126" s="139"/>
      <c r="B126" s="139"/>
      <c r="C126" s="139"/>
      <c r="D126" s="139"/>
      <c r="E126" s="139"/>
      <c r="F126" s="139"/>
    </row>
    <row r="127" spans="1:6" x14ac:dyDescent="0.3">
      <c r="A127" s="142" t="s">
        <v>252</v>
      </c>
      <c r="B127" s="142"/>
      <c r="C127" s="142"/>
      <c r="D127" s="142"/>
      <c r="E127" s="142"/>
      <c r="F127" s="142"/>
    </row>
    <row r="128" spans="1:6" x14ac:dyDescent="0.3">
      <c r="A128" s="143" t="s">
        <v>253</v>
      </c>
      <c r="B128" s="143"/>
      <c r="C128" s="143"/>
      <c r="D128" s="143"/>
      <c r="E128" s="143"/>
      <c r="F128" s="1" t="s">
        <v>155</v>
      </c>
    </row>
    <row r="129" spans="1:8" x14ac:dyDescent="0.3">
      <c r="A129" s="40" t="s">
        <v>156</v>
      </c>
      <c r="B129" s="135" t="s">
        <v>254</v>
      </c>
      <c r="C129" s="135"/>
      <c r="D129" s="135"/>
      <c r="E129" s="135"/>
      <c r="F129" s="44">
        <f>$F$41</f>
        <v>7792.93</v>
      </c>
    </row>
    <row r="130" spans="1:8" x14ac:dyDescent="0.3">
      <c r="A130" s="46" t="s">
        <v>158</v>
      </c>
      <c r="B130" s="136" t="s">
        <v>255</v>
      </c>
      <c r="C130" s="136"/>
      <c r="D130" s="136"/>
      <c r="E130" s="136"/>
      <c r="F130" s="47">
        <f>$F$78</f>
        <v>4075.69</v>
      </c>
    </row>
    <row r="131" spans="1:8" x14ac:dyDescent="0.3">
      <c r="A131" s="40" t="s">
        <v>160</v>
      </c>
      <c r="B131" s="135" t="s">
        <v>256</v>
      </c>
      <c r="C131" s="135"/>
      <c r="D131" s="135"/>
      <c r="E131" s="135"/>
      <c r="F131" s="44">
        <f>$F$88</f>
        <v>302.57</v>
      </c>
    </row>
    <row r="132" spans="1:8" x14ac:dyDescent="0.3">
      <c r="A132" s="46" t="s">
        <v>162</v>
      </c>
      <c r="B132" s="136" t="s">
        <v>257</v>
      </c>
      <c r="C132" s="136"/>
      <c r="D132" s="136"/>
      <c r="E132" s="136"/>
      <c r="F132" s="47">
        <f>$F$107</f>
        <v>287.06</v>
      </c>
    </row>
    <row r="133" spans="1:8" x14ac:dyDescent="0.3">
      <c r="A133" s="40" t="s">
        <v>164</v>
      </c>
      <c r="B133" s="135" t="s">
        <v>258</v>
      </c>
      <c r="C133" s="135"/>
      <c r="D133" s="135"/>
      <c r="E133" s="135"/>
      <c r="F133" s="44">
        <f>$F$115</f>
        <v>65.42</v>
      </c>
    </row>
    <row r="134" spans="1:8" x14ac:dyDescent="0.3">
      <c r="A134" s="137" t="s">
        <v>259</v>
      </c>
      <c r="B134" s="137"/>
      <c r="C134" s="137"/>
      <c r="D134" s="137"/>
      <c r="E134" s="137"/>
      <c r="F134" s="47">
        <f>TRUNC(SUM(F129:F133),2)</f>
        <v>12523.67</v>
      </c>
    </row>
    <row r="135" spans="1:8" x14ac:dyDescent="0.3">
      <c r="A135" s="40" t="s">
        <v>166</v>
      </c>
      <c r="B135" s="138" t="s">
        <v>260</v>
      </c>
      <c r="C135" s="138"/>
      <c r="D135" s="138"/>
      <c r="E135" s="138"/>
      <c r="F135" s="44">
        <f>TRUNC(($F$125),2)</f>
        <v>2634.05</v>
      </c>
    </row>
    <row r="136" spans="1:8" ht="16.5" customHeight="1" x14ac:dyDescent="0.3">
      <c r="A136" s="137" t="s">
        <v>261</v>
      </c>
      <c r="B136" s="137"/>
      <c r="C136" s="137"/>
      <c r="D136" s="137"/>
      <c r="E136" s="137"/>
      <c r="F136" s="47">
        <f>TRUNC(($F$134 + $F$135),2)</f>
        <v>15157.72</v>
      </c>
    </row>
    <row r="137" spans="1:8" ht="16.5" customHeight="1" x14ac:dyDescent="0.3">
      <c r="A137" s="139"/>
      <c r="B137" s="139"/>
      <c r="C137" s="139"/>
      <c r="D137" s="139"/>
      <c r="E137" s="139"/>
      <c r="F137" s="139"/>
      <c r="H137" s="60"/>
    </row>
    <row r="138" spans="1:8" ht="16.5" customHeight="1" x14ac:dyDescent="0.3">
      <c r="A138" s="119" t="s">
        <v>262</v>
      </c>
      <c r="B138" s="119"/>
      <c r="C138" s="119"/>
      <c r="D138" s="119"/>
      <c r="E138" s="119"/>
      <c r="F138" s="119"/>
    </row>
    <row r="139" spans="1:8" ht="20.399999999999999" x14ac:dyDescent="0.3">
      <c r="A139" s="70" t="s">
        <v>263</v>
      </c>
      <c r="B139" s="42" t="s">
        <v>264</v>
      </c>
      <c r="C139" s="42" t="s">
        <v>56</v>
      </c>
      <c r="D139" s="42" t="s">
        <v>265</v>
      </c>
      <c r="E139" s="42" t="s">
        <v>266</v>
      </c>
      <c r="F139" s="42" t="s">
        <v>267</v>
      </c>
    </row>
    <row r="140" spans="1:8" x14ac:dyDescent="0.3">
      <c r="A140" s="71" t="str">
        <f>$C$26</f>
        <v>Piloto Fluvial</v>
      </c>
      <c r="B140" s="72">
        <f>$F$136</f>
        <v>15157.72</v>
      </c>
      <c r="C140" s="71">
        <f>$C$22</f>
        <v>1</v>
      </c>
      <c r="D140" s="71">
        <f>$C$18</f>
        <v>12</v>
      </c>
      <c r="E140" s="72">
        <f>TRUNC(($B$140 * $C$140),2)</f>
        <v>15157.72</v>
      </c>
      <c r="F140" s="72">
        <f>TRUNC(($D$140 * $E$140),2)</f>
        <v>181892.64</v>
      </c>
    </row>
    <row r="141" spans="1:8" x14ac:dyDescent="0.3">
      <c r="A141" s="39"/>
      <c r="B141" s="39"/>
      <c r="C141" s="39"/>
      <c r="D141" s="39"/>
      <c r="E141" s="39"/>
      <c r="F141" s="39"/>
    </row>
    <row r="142" spans="1:8" ht="16.5" customHeight="1" x14ac:dyDescent="0.3">
      <c r="A142" s="119" t="s">
        <v>268</v>
      </c>
      <c r="B142" s="119"/>
      <c r="C142" s="119"/>
      <c r="D142" s="119"/>
      <c r="E142" s="119"/>
      <c r="F142" s="119"/>
    </row>
    <row r="143" spans="1:8" x14ac:dyDescent="0.3">
      <c r="A143" s="70" t="s">
        <v>263</v>
      </c>
      <c r="B143" s="42" t="s">
        <v>264</v>
      </c>
      <c r="C143" s="42" t="s">
        <v>269</v>
      </c>
      <c r="D143" s="42" t="s">
        <v>270</v>
      </c>
      <c r="E143" s="42" t="s">
        <v>120</v>
      </c>
      <c r="F143" s="42" t="s">
        <v>271</v>
      </c>
    </row>
    <row r="144" spans="1:8" x14ac:dyDescent="0.3">
      <c r="A144" s="71" t="str">
        <f>$C$26</f>
        <v>Piloto Fluvial</v>
      </c>
      <c r="B144" s="72">
        <f>$F$136</f>
        <v>15157.72</v>
      </c>
      <c r="C144" s="71">
        <v>1</v>
      </c>
      <c r="D144" s="73">
        <f>TRUNC(($E$140/30),2)</f>
        <v>505.25</v>
      </c>
      <c r="E144" s="72">
        <f>TRUNC(($C$144 * $D$144),2)</f>
        <v>505.25</v>
      </c>
      <c r="F144" s="72">
        <f>TRUNC(($E$144 * 12),2)</f>
        <v>6063</v>
      </c>
    </row>
    <row r="145" spans="1:6" x14ac:dyDescent="0.3">
      <c r="A145" s="11"/>
      <c r="B145" s="11"/>
      <c r="C145" s="11"/>
      <c r="D145" s="11"/>
      <c r="E145" s="11"/>
      <c r="F145" s="11"/>
    </row>
    <row r="146" spans="1:6" x14ac:dyDescent="0.3">
      <c r="A146" s="11"/>
      <c r="B146" s="11"/>
      <c r="C146" s="11"/>
      <c r="D146" s="11"/>
      <c r="E146" s="11"/>
      <c r="F146" s="11"/>
    </row>
    <row r="147" spans="1:6" x14ac:dyDescent="0.3">
      <c r="A147" s="11"/>
      <c r="B147" s="11"/>
      <c r="C147" s="11"/>
      <c r="D147" s="11"/>
      <c r="E147" s="11"/>
      <c r="F147" s="11"/>
    </row>
    <row r="148" spans="1:6" x14ac:dyDescent="0.3">
      <c r="A148" s="11"/>
      <c r="B148" s="11"/>
      <c r="C148" s="11"/>
      <c r="D148" s="11"/>
      <c r="E148" s="11"/>
      <c r="F148" s="11"/>
    </row>
    <row r="149" spans="1:6" x14ac:dyDescent="0.3">
      <c r="A149" s="11"/>
      <c r="B149" s="11"/>
      <c r="C149" s="11"/>
      <c r="D149" s="11"/>
      <c r="E149" s="11"/>
      <c r="F149" s="11"/>
    </row>
  </sheetData>
  <sheetProtection sheet="1" objects="1" scenarios="1"/>
  <protectedRanges>
    <protectedRange sqref="C10:F10 C13:F13 C15:F15 C16:F16 C17:F17 C28:F28 C30:F30 F35:F40 E53 F67 F69 F71 E82:E87 E94:E98 E122:E124" name="Intervalo1"/>
  </protectedRanges>
  <mergeCells count="147">
    <mergeCell ref="A1:F6"/>
    <mergeCell ref="A7:F7"/>
    <mergeCell ref="A8:F8"/>
    <mergeCell ref="A9:B9"/>
    <mergeCell ref="C9:F9"/>
    <mergeCell ref="A10:B10"/>
    <mergeCell ref="C10:F10"/>
    <mergeCell ref="A11:F11"/>
    <mergeCell ref="A12:F12"/>
    <mergeCell ref="A13:B13"/>
    <mergeCell ref="C13:F13"/>
    <mergeCell ref="A14:B14"/>
    <mergeCell ref="C14:F14"/>
    <mergeCell ref="A15:B17"/>
    <mergeCell ref="C15:F15"/>
    <mergeCell ref="C16:F16"/>
    <mergeCell ref="C17:F17"/>
    <mergeCell ref="A18:B18"/>
    <mergeCell ref="C18:F18"/>
    <mergeCell ref="A19:F19"/>
    <mergeCell ref="A20:F20"/>
    <mergeCell ref="A21:B21"/>
    <mergeCell ref="C21:F21"/>
    <mergeCell ref="A22:B22"/>
    <mergeCell ref="C22:F22"/>
    <mergeCell ref="A23:F23"/>
    <mergeCell ref="A24:F24"/>
    <mergeCell ref="A25:F25"/>
    <mergeCell ref="A26:B26"/>
    <mergeCell ref="C26:F26"/>
    <mergeCell ref="A27:B27"/>
    <mergeCell ref="C27:F27"/>
    <mergeCell ref="A28:B28"/>
    <mergeCell ref="C28:F28"/>
    <mergeCell ref="A29:B29"/>
    <mergeCell ref="C29:F29"/>
    <mergeCell ref="A30:B30"/>
    <mergeCell ref="C30:F30"/>
    <mergeCell ref="A31:F31"/>
    <mergeCell ref="A32:F32"/>
    <mergeCell ref="B33:E33"/>
    <mergeCell ref="B34:E34"/>
    <mergeCell ref="B35:E35"/>
    <mergeCell ref="B36:E36"/>
    <mergeCell ref="B37:E37"/>
    <mergeCell ref="B38:E38"/>
    <mergeCell ref="B39:E39"/>
    <mergeCell ref="B40:E40"/>
    <mergeCell ref="A41:E41"/>
    <mergeCell ref="A42:F42"/>
    <mergeCell ref="A43:F43"/>
    <mergeCell ref="A44:F44"/>
    <mergeCell ref="B45:D45"/>
    <mergeCell ref="B46:D46"/>
    <mergeCell ref="B47:D47"/>
    <mergeCell ref="A48:D48"/>
    <mergeCell ref="A49:F49"/>
    <mergeCell ref="B50:D50"/>
    <mergeCell ref="B51:D51"/>
    <mergeCell ref="B52:D52"/>
    <mergeCell ref="B53:D53"/>
    <mergeCell ref="B54:D54"/>
    <mergeCell ref="B55:D55"/>
    <mergeCell ref="B56:D56"/>
    <mergeCell ref="B57:D57"/>
    <mergeCell ref="B58:D58"/>
    <mergeCell ref="A59:D59"/>
    <mergeCell ref="A60:F60"/>
    <mergeCell ref="B61:F61"/>
    <mergeCell ref="A62:A63"/>
    <mergeCell ref="A64:A65"/>
    <mergeCell ref="B64:C64"/>
    <mergeCell ref="B65:C65"/>
    <mergeCell ref="A66:A67"/>
    <mergeCell ref="B66:E67"/>
    <mergeCell ref="A68:A69"/>
    <mergeCell ref="B68:E69"/>
    <mergeCell ref="A70:A71"/>
    <mergeCell ref="B70:E71"/>
    <mergeCell ref="A72:E72"/>
    <mergeCell ref="A73:F73"/>
    <mergeCell ref="B74:E74"/>
    <mergeCell ref="B75:E75"/>
    <mergeCell ref="B76:E76"/>
    <mergeCell ref="B77:E77"/>
    <mergeCell ref="A78:E78"/>
    <mergeCell ref="A79:F79"/>
    <mergeCell ref="A80:F80"/>
    <mergeCell ref="B81:D81"/>
    <mergeCell ref="B82:D82"/>
    <mergeCell ref="B83:D83"/>
    <mergeCell ref="B84:D84"/>
    <mergeCell ref="B85:D85"/>
    <mergeCell ref="B86:D86"/>
    <mergeCell ref="B87:D87"/>
    <mergeCell ref="A88:D88"/>
    <mergeCell ref="A89:F89"/>
    <mergeCell ref="A90:F90"/>
    <mergeCell ref="A91:F91"/>
    <mergeCell ref="B92:D92"/>
    <mergeCell ref="B93:D93"/>
    <mergeCell ref="B94:D94"/>
    <mergeCell ref="B95:D95"/>
    <mergeCell ref="B96:D96"/>
    <mergeCell ref="B97:D97"/>
    <mergeCell ref="B98:D98"/>
    <mergeCell ref="A99:D99"/>
    <mergeCell ref="A100:F100"/>
    <mergeCell ref="B101:D101"/>
    <mergeCell ref="B102:D102"/>
    <mergeCell ref="A103:F103"/>
    <mergeCell ref="B104:E104"/>
    <mergeCell ref="B105:E105"/>
    <mergeCell ref="B106:E106"/>
    <mergeCell ref="A107:E107"/>
    <mergeCell ref="A108:F108"/>
    <mergeCell ref="A109:F109"/>
    <mergeCell ref="B110:E110"/>
    <mergeCell ref="B111:E111"/>
    <mergeCell ref="B112:E112"/>
    <mergeCell ref="B113:E113"/>
    <mergeCell ref="B114:E114"/>
    <mergeCell ref="A115:E115"/>
    <mergeCell ref="A116:F116"/>
    <mergeCell ref="A117:F117"/>
    <mergeCell ref="A118:D118"/>
    <mergeCell ref="B119:D119"/>
    <mergeCell ref="B120:D120"/>
    <mergeCell ref="A121:D121"/>
    <mergeCell ref="B122:D122"/>
    <mergeCell ref="B123:D123"/>
    <mergeCell ref="B124:D124"/>
    <mergeCell ref="A125:D125"/>
    <mergeCell ref="A126:F126"/>
    <mergeCell ref="A127:F127"/>
    <mergeCell ref="A128:E128"/>
    <mergeCell ref="B129:E129"/>
    <mergeCell ref="B130:E130"/>
    <mergeCell ref="B131:E131"/>
    <mergeCell ref="B132:E132"/>
    <mergeCell ref="B133:E133"/>
    <mergeCell ref="A134:E134"/>
    <mergeCell ref="B135:E135"/>
    <mergeCell ref="A136:E136"/>
    <mergeCell ref="A137:F137"/>
    <mergeCell ref="A138:F138"/>
    <mergeCell ref="A142:F142"/>
  </mergeCells>
  <hyperlinks>
    <hyperlink ref="C9" r:id="rId1" location="/134037411" xr:uid="{00000000-0004-0000-0700-000000000000}"/>
    <hyperlink ref="C27" r:id="rId2" xr:uid="{00000000-0004-0000-0700-000001000000}"/>
  </hyperlinks>
  <pageMargins left="0.7" right="0.7" top="0.75" bottom="0.75" header="0.511811023622047" footer="0.511811023622047"/>
  <pageSetup paperSize="9" orientation="portrait" horizontalDpi="300" verticalDpi="30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4"/>
  <sheetViews>
    <sheetView zoomScale="90" zoomScaleNormal="90" workbookViewId="0">
      <selection sqref="A1:C1"/>
    </sheetView>
  </sheetViews>
  <sheetFormatPr defaultColWidth="8.6640625" defaultRowHeight="14.4" x14ac:dyDescent="0.3"/>
  <cols>
    <col min="2" max="2" width="51.88671875" customWidth="1"/>
    <col min="3" max="3" width="107.44140625" customWidth="1"/>
  </cols>
  <sheetData>
    <row r="1" spans="1:3" s="5" customFormat="1" ht="19.5" customHeight="1" x14ac:dyDescent="0.3">
      <c r="A1" s="113" t="s">
        <v>0</v>
      </c>
      <c r="B1" s="113"/>
      <c r="C1" s="113"/>
    </row>
    <row r="2" spans="1:3" s="5" customFormat="1" ht="19.5" customHeight="1" x14ac:dyDescent="0.3">
      <c r="A2" s="6" t="s">
        <v>1</v>
      </c>
      <c r="B2" s="7" t="s">
        <v>2</v>
      </c>
      <c r="C2" s="6" t="s">
        <v>3</v>
      </c>
    </row>
    <row r="3" spans="1:3" s="5" customFormat="1" ht="19.5" customHeight="1" x14ac:dyDescent="0.3">
      <c r="A3" s="6">
        <f t="shared" ref="A3:A11" si="0">ROW()-2</f>
        <v>1</v>
      </c>
      <c r="B3" s="7" t="s">
        <v>4</v>
      </c>
      <c r="C3" s="6" t="s">
        <v>5</v>
      </c>
    </row>
    <row r="4" spans="1:3" s="5" customFormat="1" ht="19.5" customHeight="1" x14ac:dyDescent="0.3">
      <c r="A4" s="6">
        <f t="shared" si="0"/>
        <v>2</v>
      </c>
      <c r="B4" s="7" t="s">
        <v>6</v>
      </c>
      <c r="C4" s="6" t="s">
        <v>7</v>
      </c>
    </row>
    <row r="5" spans="1:3" s="5" customFormat="1" ht="19.5" customHeight="1" x14ac:dyDescent="0.3">
      <c r="A5" s="6">
        <f t="shared" si="0"/>
        <v>3</v>
      </c>
      <c r="B5" s="8" t="s">
        <v>8</v>
      </c>
      <c r="C5" s="9" t="s">
        <v>9</v>
      </c>
    </row>
    <row r="6" spans="1:3" s="5" customFormat="1" ht="19.5" customHeight="1" x14ac:dyDescent="0.3">
      <c r="A6" s="6">
        <f t="shared" si="0"/>
        <v>4</v>
      </c>
      <c r="B6" s="7" t="s">
        <v>10</v>
      </c>
      <c r="C6" s="6" t="s">
        <v>11</v>
      </c>
    </row>
    <row r="7" spans="1:3" s="5" customFormat="1" ht="19.5" customHeight="1" x14ac:dyDescent="0.3">
      <c r="A7" s="6">
        <f t="shared" si="0"/>
        <v>5</v>
      </c>
      <c r="B7" s="10" t="s">
        <v>12</v>
      </c>
      <c r="C7" s="6" t="s">
        <v>13</v>
      </c>
    </row>
    <row r="8" spans="1:3" s="5" customFormat="1" ht="19.5" customHeight="1" x14ac:dyDescent="0.3">
      <c r="A8" s="6">
        <f t="shared" si="0"/>
        <v>6</v>
      </c>
      <c r="B8" s="7" t="s">
        <v>14</v>
      </c>
      <c r="C8" s="6" t="s">
        <v>15</v>
      </c>
    </row>
    <row r="9" spans="1:3" s="5" customFormat="1" ht="19.5" customHeight="1" x14ac:dyDescent="0.3">
      <c r="A9" s="6">
        <f t="shared" si="0"/>
        <v>7</v>
      </c>
      <c r="B9" s="7" t="s">
        <v>16</v>
      </c>
      <c r="C9" s="6" t="s">
        <v>17</v>
      </c>
    </row>
    <row r="10" spans="1:3" s="5" customFormat="1" ht="19.5" customHeight="1" x14ac:dyDescent="0.3">
      <c r="A10" s="6">
        <f t="shared" si="0"/>
        <v>8</v>
      </c>
      <c r="B10" s="7" t="s">
        <v>18</v>
      </c>
      <c r="C10" s="6" t="s">
        <v>19</v>
      </c>
    </row>
    <row r="11" spans="1:3" s="5" customFormat="1" ht="19.5" customHeight="1" x14ac:dyDescent="0.3">
      <c r="A11" s="6">
        <f t="shared" si="0"/>
        <v>9</v>
      </c>
      <c r="B11" s="7" t="s">
        <v>20</v>
      </c>
      <c r="C11" s="6" t="s">
        <v>21</v>
      </c>
    </row>
    <row r="12" spans="1:3" x14ac:dyDescent="0.3">
      <c r="A12" s="11"/>
      <c r="B12" s="11"/>
      <c r="C12" s="11"/>
    </row>
    <row r="13" spans="1:3" x14ac:dyDescent="0.3">
      <c r="A13" s="11"/>
      <c r="B13" s="11"/>
      <c r="C13" s="11"/>
    </row>
    <row r="14" spans="1:3" x14ac:dyDescent="0.3">
      <c r="A14" s="11"/>
      <c r="B14" s="11"/>
      <c r="C14" s="11"/>
    </row>
  </sheetData>
  <mergeCells count="1">
    <mergeCell ref="A1:C1"/>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0"/>
  <sheetViews>
    <sheetView zoomScale="140" zoomScaleNormal="140" workbookViewId="0">
      <selection activeCell="C38" sqref="C38"/>
    </sheetView>
  </sheetViews>
  <sheetFormatPr defaultColWidth="8.6640625"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1" ht="131.25" customHeight="1" x14ac:dyDescent="0.3">
      <c r="A1" s="120"/>
      <c r="B1" s="120"/>
      <c r="C1" s="120"/>
      <c r="D1" s="120"/>
      <c r="E1" s="120"/>
      <c r="F1" s="120"/>
      <c r="K1" s="75"/>
    </row>
    <row r="2" spans="1:11" ht="16.5" customHeight="1" x14ac:dyDescent="0.3">
      <c r="A2" s="119" t="s">
        <v>283</v>
      </c>
      <c r="B2" s="119"/>
      <c r="C2" s="119"/>
      <c r="D2" s="119"/>
      <c r="E2" s="119"/>
      <c r="F2" s="119"/>
    </row>
    <row r="3" spans="1:11" ht="16.5" customHeight="1" x14ac:dyDescent="0.3">
      <c r="A3" s="122" t="s">
        <v>284</v>
      </c>
      <c r="B3" s="122"/>
      <c r="C3" s="122"/>
      <c r="D3" s="122"/>
      <c r="E3" s="122"/>
      <c r="F3" s="122"/>
    </row>
    <row r="4" spans="1:11" ht="16.5" customHeight="1" x14ac:dyDescent="0.3">
      <c r="A4" s="119" t="s">
        <v>285</v>
      </c>
      <c r="B4" s="119"/>
      <c r="C4" s="119"/>
      <c r="D4" s="119"/>
      <c r="E4" s="119"/>
      <c r="F4" s="119"/>
    </row>
    <row r="5" spans="1:11" ht="16.5" customHeight="1" x14ac:dyDescent="0.3">
      <c r="A5" s="122" t="s">
        <v>286</v>
      </c>
      <c r="B5" s="122"/>
      <c r="C5" s="122"/>
      <c r="D5" s="122"/>
      <c r="E5" s="122"/>
      <c r="F5" s="122"/>
    </row>
    <row r="6" spans="1:11" ht="63.75" customHeight="1" x14ac:dyDescent="0.3">
      <c r="A6" s="125" t="s">
        <v>287</v>
      </c>
      <c r="B6" s="125"/>
      <c r="C6" s="125"/>
      <c r="D6" s="125"/>
      <c r="E6" s="125"/>
      <c r="F6" s="125"/>
    </row>
    <row r="7" spans="1:11" x14ac:dyDescent="0.3">
      <c r="A7" s="120"/>
      <c r="B7" s="120"/>
      <c r="C7" s="120"/>
      <c r="D7" s="120"/>
      <c r="E7" s="120"/>
      <c r="F7" s="120"/>
    </row>
    <row r="8" spans="1:11" ht="16.5" customHeight="1" x14ac:dyDescent="0.3">
      <c r="A8" s="119" t="s">
        <v>288</v>
      </c>
      <c r="B8" s="119"/>
      <c r="C8" s="119"/>
      <c r="D8" s="119"/>
      <c r="E8" s="119"/>
      <c r="F8" s="119"/>
    </row>
    <row r="9" spans="1:11" ht="16.5" customHeight="1" x14ac:dyDescent="0.3">
      <c r="A9" s="114" t="s">
        <v>289</v>
      </c>
      <c r="B9" s="114"/>
      <c r="C9" s="114"/>
      <c r="D9" s="114"/>
      <c r="E9" s="114"/>
      <c r="F9" s="114"/>
    </row>
    <row r="10" spans="1:11" ht="16.5" customHeight="1" x14ac:dyDescent="0.3">
      <c r="A10" s="115" t="s">
        <v>290</v>
      </c>
      <c r="B10" s="115"/>
      <c r="C10" s="115"/>
      <c r="D10" s="115"/>
      <c r="E10" s="115"/>
      <c r="F10" s="115"/>
    </row>
    <row r="11" spans="1:11" ht="16.5" customHeight="1" x14ac:dyDescent="0.3">
      <c r="A11" s="114" t="s">
        <v>291</v>
      </c>
      <c r="B11" s="114"/>
      <c r="C11" s="114"/>
      <c r="D11" s="114"/>
      <c r="E11" s="114"/>
      <c r="F11" s="114"/>
    </row>
    <row r="12" spans="1:11" ht="16.5" customHeight="1" x14ac:dyDescent="0.3">
      <c r="A12" s="124" t="s">
        <v>292</v>
      </c>
      <c r="B12" s="124"/>
      <c r="C12" s="115"/>
      <c r="D12" s="115"/>
      <c r="E12" s="115"/>
      <c r="F12" s="115"/>
    </row>
    <row r="13" spans="1:11" ht="16.5" customHeight="1" x14ac:dyDescent="0.3">
      <c r="A13" s="114" t="s">
        <v>293</v>
      </c>
      <c r="B13" s="114"/>
      <c r="C13" s="76"/>
      <c r="D13" s="76"/>
      <c r="E13" s="76"/>
      <c r="F13" s="76"/>
    </row>
    <row r="14" spans="1:11" ht="22.5" customHeight="1" x14ac:dyDescent="0.3">
      <c r="A14" s="115" t="s">
        <v>294</v>
      </c>
      <c r="B14" s="115"/>
      <c r="C14" s="43" t="s">
        <v>295</v>
      </c>
      <c r="D14" s="43" t="s">
        <v>296</v>
      </c>
      <c r="E14" s="43" t="s">
        <v>297</v>
      </c>
      <c r="F14" s="43" t="s">
        <v>298</v>
      </c>
    </row>
    <row r="15" spans="1:11" x14ac:dyDescent="0.3">
      <c r="A15" s="120"/>
      <c r="B15" s="120"/>
      <c r="C15" s="120"/>
      <c r="D15" s="120"/>
      <c r="E15" s="120"/>
      <c r="F15" s="120"/>
    </row>
    <row r="16" spans="1:11" ht="16.5" customHeight="1" x14ac:dyDescent="0.3">
      <c r="A16" s="119" t="s">
        <v>299</v>
      </c>
      <c r="B16" s="119"/>
      <c r="C16" s="119"/>
      <c r="D16" s="119"/>
      <c r="E16" s="119"/>
      <c r="F16" s="119"/>
    </row>
    <row r="17" spans="1:6" ht="16.5" customHeight="1" x14ac:dyDescent="0.3">
      <c r="A17" s="114" t="s">
        <v>300</v>
      </c>
      <c r="B17" s="114"/>
      <c r="C17" s="114"/>
      <c r="D17" s="114"/>
      <c r="E17" s="114"/>
      <c r="F17" s="114"/>
    </row>
    <row r="18" spans="1:6" ht="22.5" customHeight="1" x14ac:dyDescent="0.3">
      <c r="A18" s="115" t="s">
        <v>301</v>
      </c>
      <c r="B18" s="115"/>
      <c r="C18" s="43" t="s">
        <v>302</v>
      </c>
      <c r="D18" s="43" t="s">
        <v>303</v>
      </c>
      <c r="E18" s="115" t="s">
        <v>304</v>
      </c>
      <c r="F18" s="115"/>
    </row>
    <row r="19" spans="1:6" x14ac:dyDescent="0.3">
      <c r="A19" s="120"/>
      <c r="B19" s="120"/>
      <c r="C19" s="120"/>
      <c r="D19" s="120"/>
      <c r="E19" s="120"/>
      <c r="F19" s="120"/>
    </row>
    <row r="20" spans="1:6" ht="16.5" customHeight="1" x14ac:dyDescent="0.3">
      <c r="A20" s="119" t="s">
        <v>305</v>
      </c>
      <c r="B20" s="119"/>
      <c r="C20" s="119"/>
      <c r="D20" s="119"/>
      <c r="E20" s="119"/>
      <c r="F20" s="119"/>
    </row>
    <row r="21" spans="1:6" ht="39.75" customHeight="1" x14ac:dyDescent="0.3">
      <c r="A21" s="42" t="s">
        <v>156</v>
      </c>
      <c r="B21" s="123" t="s">
        <v>306</v>
      </c>
      <c r="C21" s="123"/>
      <c r="D21" s="123"/>
      <c r="E21" s="123"/>
      <c r="F21" s="123"/>
    </row>
    <row r="22" spans="1:6" ht="39.75" customHeight="1" x14ac:dyDescent="0.3">
      <c r="A22" s="43" t="s">
        <v>158</v>
      </c>
      <c r="B22" s="121" t="s">
        <v>307</v>
      </c>
      <c r="C22" s="121"/>
      <c r="D22" s="121"/>
      <c r="E22" s="121"/>
      <c r="F22" s="121"/>
    </row>
    <row r="23" spans="1:6" ht="39.75" customHeight="1" x14ac:dyDescent="0.3">
      <c r="A23" s="42" t="s">
        <v>160</v>
      </c>
      <c r="B23" s="123" t="s">
        <v>308</v>
      </c>
      <c r="C23" s="123"/>
      <c r="D23" s="123"/>
      <c r="E23" s="123"/>
      <c r="F23" s="123"/>
    </row>
    <row r="24" spans="1:6" ht="39.75" customHeight="1" x14ac:dyDescent="0.3">
      <c r="A24" s="43" t="s">
        <v>162</v>
      </c>
      <c r="B24" s="121" t="s">
        <v>309</v>
      </c>
      <c r="C24" s="121"/>
      <c r="D24" s="121"/>
      <c r="E24" s="121"/>
      <c r="F24" s="121"/>
    </row>
    <row r="25" spans="1:6" ht="39.75" customHeight="1" x14ac:dyDescent="0.3">
      <c r="A25" s="42" t="s">
        <v>164</v>
      </c>
      <c r="B25" s="123" t="s">
        <v>310</v>
      </c>
      <c r="C25" s="123"/>
      <c r="D25" s="123"/>
      <c r="E25" s="123"/>
      <c r="F25" s="123"/>
    </row>
    <row r="26" spans="1:6" ht="39.75" customHeight="1" x14ac:dyDescent="0.3">
      <c r="A26" s="43" t="s">
        <v>166</v>
      </c>
      <c r="B26" s="121" t="s">
        <v>311</v>
      </c>
      <c r="C26" s="121"/>
      <c r="D26" s="121"/>
      <c r="E26" s="121"/>
      <c r="F26" s="121"/>
    </row>
    <row r="27" spans="1:6" ht="39.75" customHeight="1" x14ac:dyDescent="0.3">
      <c r="A27" s="42" t="s">
        <v>168</v>
      </c>
      <c r="B27" s="123" t="s">
        <v>312</v>
      </c>
      <c r="C27" s="123"/>
      <c r="D27" s="123"/>
      <c r="E27" s="123"/>
      <c r="F27" s="123"/>
    </row>
    <row r="28" spans="1:6" ht="39.75" customHeight="1" x14ac:dyDescent="0.3">
      <c r="A28" s="43" t="s">
        <v>189</v>
      </c>
      <c r="B28" s="121" t="s">
        <v>313</v>
      </c>
      <c r="C28" s="121"/>
      <c r="D28" s="121"/>
      <c r="E28" s="121"/>
      <c r="F28" s="121"/>
    </row>
    <row r="29" spans="1:6" ht="39.75" customHeight="1" x14ac:dyDescent="0.3">
      <c r="A29" s="42" t="s">
        <v>314</v>
      </c>
      <c r="B29" s="123" t="s">
        <v>315</v>
      </c>
      <c r="C29" s="123"/>
      <c r="D29" s="123"/>
      <c r="E29" s="123"/>
      <c r="F29" s="123"/>
    </row>
    <row r="30" spans="1:6" ht="39.75" customHeight="1" x14ac:dyDescent="0.3">
      <c r="A30" s="43" t="s">
        <v>316</v>
      </c>
      <c r="B30" s="121" t="s">
        <v>317</v>
      </c>
      <c r="C30" s="121"/>
      <c r="D30" s="121"/>
      <c r="E30" s="121"/>
      <c r="F30" s="121"/>
    </row>
    <row r="31" spans="1:6" ht="39.75" customHeight="1" x14ac:dyDescent="0.3">
      <c r="A31" s="42" t="s">
        <v>318</v>
      </c>
      <c r="B31" s="123" t="s">
        <v>319</v>
      </c>
      <c r="C31" s="123"/>
      <c r="D31" s="123"/>
      <c r="E31" s="123"/>
      <c r="F31" s="123"/>
    </row>
    <row r="32" spans="1:6" ht="39.75" customHeight="1" x14ac:dyDescent="0.3">
      <c r="A32" s="43" t="s">
        <v>320</v>
      </c>
      <c r="B32" s="121" t="s">
        <v>321</v>
      </c>
      <c r="C32" s="121"/>
      <c r="D32" s="121"/>
      <c r="E32" s="121"/>
      <c r="F32" s="121"/>
    </row>
    <row r="33" spans="1:6" x14ac:dyDescent="0.3">
      <c r="A33" s="120"/>
      <c r="B33" s="120"/>
      <c r="C33" s="120"/>
      <c r="D33" s="120"/>
      <c r="E33" s="120"/>
      <c r="F33" s="120"/>
    </row>
    <row r="34" spans="1:6" ht="16.5" customHeight="1" x14ac:dyDescent="0.3">
      <c r="A34" s="119" t="s">
        <v>322</v>
      </c>
      <c r="B34" s="119"/>
      <c r="C34" s="119"/>
      <c r="D34" s="119"/>
      <c r="E34" s="119"/>
      <c r="F34" s="119"/>
    </row>
    <row r="35" spans="1:6" ht="20.399999999999999" x14ac:dyDescent="0.3">
      <c r="A35" s="43" t="s">
        <v>1</v>
      </c>
      <c r="B35" s="43" t="s">
        <v>323</v>
      </c>
      <c r="C35" s="43" t="s">
        <v>270</v>
      </c>
      <c r="D35" s="43" t="s">
        <v>324</v>
      </c>
      <c r="E35" s="43" t="s">
        <v>325</v>
      </c>
      <c r="F35" s="43" t="s">
        <v>326</v>
      </c>
    </row>
    <row r="36" spans="1:6" x14ac:dyDescent="0.3">
      <c r="A36" s="42">
        <v>1</v>
      </c>
      <c r="B36" s="42" t="s">
        <v>327</v>
      </c>
      <c r="C36" s="77">
        <f>Marinheiro!D144</f>
        <v>313.67</v>
      </c>
      <c r="D36" s="42">
        <v>3</v>
      </c>
      <c r="E36" s="77">
        <f>C36*D36</f>
        <v>941.01</v>
      </c>
      <c r="F36" s="78">
        <f>TRUNC((E36*12),2)</f>
        <v>11292.12</v>
      </c>
    </row>
    <row r="37" spans="1:6" x14ac:dyDescent="0.3">
      <c r="A37" s="43">
        <v>2</v>
      </c>
      <c r="B37" s="43" t="s">
        <v>328</v>
      </c>
      <c r="C37" s="79">
        <f>'Piloto de Embarcações'!D144</f>
        <v>505.25</v>
      </c>
      <c r="D37" s="43">
        <v>1</v>
      </c>
      <c r="E37" s="79">
        <f>C37*D37</f>
        <v>505.25</v>
      </c>
      <c r="F37" s="80">
        <f>TRUNC((E37*12),2)</f>
        <v>6063</v>
      </c>
    </row>
    <row r="38" spans="1:6" ht="16.5" customHeight="1" x14ac:dyDescent="0.3">
      <c r="A38" s="114" t="s">
        <v>329</v>
      </c>
      <c r="B38" s="114"/>
      <c r="C38" s="81"/>
      <c r="D38" s="82">
        <f>SUM(D36:D37)</f>
        <v>4</v>
      </c>
      <c r="E38" s="81">
        <f>SUM(E36:E37)</f>
        <v>1446.26</v>
      </c>
      <c r="F38" s="81">
        <f>TRUNC(SUM(F36:F37),2)</f>
        <v>17355.12</v>
      </c>
    </row>
    <row r="39" spans="1:6" x14ac:dyDescent="0.3">
      <c r="A39" s="122"/>
      <c r="B39" s="122"/>
      <c r="C39" s="122"/>
      <c r="D39" s="122"/>
      <c r="E39" s="122"/>
      <c r="F39" s="122"/>
    </row>
    <row r="40" spans="1:6" ht="16.5" customHeight="1" x14ac:dyDescent="0.3">
      <c r="A40" s="119" t="s">
        <v>330</v>
      </c>
      <c r="B40" s="119"/>
      <c r="C40" s="119"/>
      <c r="D40" s="119"/>
      <c r="E40" s="119"/>
      <c r="F40" s="119"/>
    </row>
    <row r="41" spans="1:6" ht="16.5" customHeight="1" x14ac:dyDescent="0.3">
      <c r="A41" s="43">
        <v>3</v>
      </c>
      <c r="B41" s="115" t="s">
        <v>331</v>
      </c>
      <c r="C41" s="115"/>
      <c r="D41" s="115"/>
      <c r="E41" s="83" t="s">
        <v>332</v>
      </c>
      <c r="F41" s="83" t="s">
        <v>111</v>
      </c>
    </row>
    <row r="42" spans="1:6" ht="16.5" customHeight="1" x14ac:dyDescent="0.3">
      <c r="A42" s="114" t="s">
        <v>333</v>
      </c>
      <c r="B42" s="114"/>
      <c r="C42" s="114"/>
      <c r="D42" s="114"/>
      <c r="E42" s="81">
        <f>TRUNC((F42/12),2)</f>
        <v>123.29</v>
      </c>
      <c r="F42" s="81">
        <f>('Materiais + MLPH'!I22)-0.09</f>
        <v>1479.48</v>
      </c>
    </row>
    <row r="43" spans="1:6" x14ac:dyDescent="0.3">
      <c r="A43" s="120"/>
      <c r="B43" s="120"/>
      <c r="C43" s="120"/>
      <c r="D43" s="120"/>
      <c r="E43" s="120"/>
      <c r="F43" s="120"/>
    </row>
    <row r="44" spans="1:6" ht="16.5" customHeight="1" x14ac:dyDescent="0.3">
      <c r="A44" s="119" t="s">
        <v>334</v>
      </c>
      <c r="B44" s="119"/>
      <c r="C44" s="119"/>
      <c r="D44" s="119"/>
      <c r="E44" s="119"/>
      <c r="F44" s="119"/>
    </row>
    <row r="45" spans="1:6" ht="16.5" customHeight="1" x14ac:dyDescent="0.3">
      <c r="A45" s="114" t="s">
        <v>335</v>
      </c>
      <c r="B45" s="114"/>
      <c r="C45" s="114"/>
      <c r="D45" s="114"/>
      <c r="E45" s="114"/>
      <c r="F45" s="114"/>
    </row>
    <row r="46" spans="1:6" ht="16.5" customHeight="1" x14ac:dyDescent="0.3">
      <c r="A46" s="115" t="s">
        <v>332</v>
      </c>
      <c r="B46" s="115"/>
      <c r="C46" s="115"/>
      <c r="D46" s="116" t="s">
        <v>111</v>
      </c>
      <c r="E46" s="116"/>
      <c r="F46" s="116"/>
    </row>
    <row r="47" spans="1:6" x14ac:dyDescent="0.3">
      <c r="A47" s="117">
        <f>TRUNC((E38+E42),2)</f>
        <v>1569.55</v>
      </c>
      <c r="B47" s="117"/>
      <c r="C47" s="117"/>
      <c r="D47" s="118">
        <f>TRUNC((F38+F42),2)</f>
        <v>18834.599999999999</v>
      </c>
      <c r="E47" s="118"/>
      <c r="F47" s="118"/>
    </row>
    <row r="48" spans="1:6" x14ac:dyDescent="0.3">
      <c r="A48" s="11"/>
      <c r="B48" s="11"/>
      <c r="C48" s="11"/>
      <c r="D48" s="11"/>
      <c r="E48" s="11"/>
      <c r="F48" s="11"/>
    </row>
    <row r="49" spans="1:6" x14ac:dyDescent="0.3">
      <c r="A49" s="11"/>
      <c r="B49" s="11"/>
      <c r="C49" s="11"/>
      <c r="D49" s="11"/>
      <c r="E49" s="11"/>
      <c r="F49" s="11"/>
    </row>
    <row r="50" spans="1:6" x14ac:dyDescent="0.3">
      <c r="A50" s="11"/>
      <c r="B50" s="11"/>
      <c r="C50" s="11"/>
      <c r="D50" s="11"/>
      <c r="E50" s="11"/>
      <c r="F50" s="11"/>
    </row>
  </sheetData>
  <mergeCells count="53">
    <mergeCell ref="A1:F1"/>
    <mergeCell ref="A2:F2"/>
    <mergeCell ref="A3:F3"/>
    <mergeCell ref="A4:F4"/>
    <mergeCell ref="A5:F5"/>
    <mergeCell ref="A6:F6"/>
    <mergeCell ref="A7:F7"/>
    <mergeCell ref="A8:F8"/>
    <mergeCell ref="A9:B9"/>
    <mergeCell ref="C9:F9"/>
    <mergeCell ref="A10:B10"/>
    <mergeCell ref="C10:F10"/>
    <mergeCell ref="A11:B11"/>
    <mergeCell ref="C11:F11"/>
    <mergeCell ref="A12:B12"/>
    <mergeCell ref="C12:D12"/>
    <mergeCell ref="E12:F12"/>
    <mergeCell ref="A13:B13"/>
    <mergeCell ref="A14:B14"/>
    <mergeCell ref="A15:F15"/>
    <mergeCell ref="A16:F16"/>
    <mergeCell ref="A17:B17"/>
    <mergeCell ref="C17:F17"/>
    <mergeCell ref="A18:B18"/>
    <mergeCell ref="E18:F18"/>
    <mergeCell ref="A19:F19"/>
    <mergeCell ref="A20:F20"/>
    <mergeCell ref="B21:F21"/>
    <mergeCell ref="B22:F22"/>
    <mergeCell ref="B23:F23"/>
    <mergeCell ref="B24:F24"/>
    <mergeCell ref="B25:F25"/>
    <mergeCell ref="B26:F26"/>
    <mergeCell ref="B27:F27"/>
    <mergeCell ref="B28:F28"/>
    <mergeCell ref="B29:F29"/>
    <mergeCell ref="B30:F30"/>
    <mergeCell ref="B31:F31"/>
    <mergeCell ref="B32:F32"/>
    <mergeCell ref="A33:F33"/>
    <mergeCell ref="A34:F34"/>
    <mergeCell ref="A38:B38"/>
    <mergeCell ref="A39:F39"/>
    <mergeCell ref="A40:F40"/>
    <mergeCell ref="B41:D41"/>
    <mergeCell ref="A42:D42"/>
    <mergeCell ref="A43:F43"/>
    <mergeCell ref="A44:F44"/>
    <mergeCell ref="A45:F45"/>
    <mergeCell ref="A46:C46"/>
    <mergeCell ref="D46:F46"/>
    <mergeCell ref="A47:C47"/>
    <mergeCell ref="D47:F47"/>
  </mergeCells>
  <pageMargins left="0.51180555555555596" right="0.51180555555555596" top="0.78749999999999998" bottom="0.78749999999999998" header="0.511811023622047" footer="0.511811023622047"/>
  <pageSetup paperSize="9" orientation="portrait" horizontalDpi="300" verticalDpi="300"/>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
  <sheetViews>
    <sheetView zoomScaleNormal="100" workbookViewId="0">
      <selection sqref="A1:B1"/>
    </sheetView>
  </sheetViews>
  <sheetFormatPr defaultColWidth="8.6640625" defaultRowHeight="14.4" x14ac:dyDescent="0.3"/>
  <cols>
    <col min="2" max="2" width="46.109375" customWidth="1"/>
  </cols>
  <sheetData>
    <row r="1" spans="1:2" s="11" customFormat="1" ht="19.5" customHeight="1" x14ac:dyDescent="0.25">
      <c r="A1" s="113" t="s">
        <v>22</v>
      </c>
      <c r="B1" s="113"/>
    </row>
    <row r="2" spans="1:2" s="11" customFormat="1" ht="19.5" customHeight="1" x14ac:dyDescent="0.25">
      <c r="A2" s="6">
        <f>ROW()-1</f>
        <v>1</v>
      </c>
      <c r="B2" s="7" t="s">
        <v>16</v>
      </c>
    </row>
    <row r="3" spans="1:2" s="11" customFormat="1" ht="19.5" customHeight="1" x14ac:dyDescent="0.25">
      <c r="A3" s="6">
        <f>ROW()-1</f>
        <v>2</v>
      </c>
      <c r="B3" s="7" t="s">
        <v>18</v>
      </c>
    </row>
    <row r="4" spans="1:2" x14ac:dyDescent="0.3">
      <c r="B4" s="12"/>
    </row>
  </sheetData>
  <mergeCells count="1">
    <mergeCell ref="A1:B1"/>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6"/>
  <sheetViews>
    <sheetView zoomScaleNormal="100" workbookViewId="0">
      <selection activeCell="A35" sqref="A35"/>
    </sheetView>
  </sheetViews>
  <sheetFormatPr defaultColWidth="8.6640625" defaultRowHeight="14.4" x14ac:dyDescent="0.3"/>
  <cols>
    <col min="1" max="1" width="18.44140625" customWidth="1"/>
    <col min="2" max="2" width="20.33203125" customWidth="1"/>
    <col min="3" max="3" width="28.33203125" customWidth="1"/>
    <col min="4" max="4" width="27.5546875" customWidth="1"/>
  </cols>
  <sheetData>
    <row r="1" spans="1:4" s="5" customFormat="1" ht="30" customHeight="1" x14ac:dyDescent="0.3">
      <c r="A1" s="128" t="s">
        <v>23</v>
      </c>
      <c r="B1" s="128"/>
      <c r="C1" s="128"/>
      <c r="D1" s="128"/>
    </row>
    <row r="2" spans="1:4" s="5" customFormat="1" ht="30" customHeight="1" x14ac:dyDescent="0.3">
      <c r="A2" s="122" t="s">
        <v>24</v>
      </c>
      <c r="B2" s="122"/>
      <c r="C2" s="4" t="s">
        <v>16</v>
      </c>
      <c r="D2" s="4" t="s">
        <v>25</v>
      </c>
    </row>
    <row r="3" spans="1:4" s="5" customFormat="1" ht="30" customHeight="1" x14ac:dyDescent="0.3">
      <c r="A3" s="4" t="s">
        <v>26</v>
      </c>
      <c r="B3" s="4" t="s">
        <v>27</v>
      </c>
      <c r="C3" s="13">
        <v>1063.56</v>
      </c>
      <c r="D3" s="13">
        <v>1694.68</v>
      </c>
    </row>
    <row r="4" spans="1:4" x14ac:dyDescent="0.3">
      <c r="A4" s="4" t="s">
        <v>26</v>
      </c>
      <c r="B4" s="4" t="s">
        <v>28</v>
      </c>
      <c r="C4" s="14"/>
      <c r="D4" s="14"/>
    </row>
    <row r="5" spans="1:4" x14ac:dyDescent="0.3">
      <c r="A5" s="4" t="s">
        <v>26</v>
      </c>
      <c r="B5" s="4" t="s">
        <v>29</v>
      </c>
      <c r="C5" s="14"/>
      <c r="D5" s="14"/>
    </row>
    <row r="6" spans="1:4" x14ac:dyDescent="0.3">
      <c r="A6" s="4" t="s">
        <v>26</v>
      </c>
      <c r="B6" s="4" t="s">
        <v>30</v>
      </c>
      <c r="C6" s="14"/>
      <c r="D6" s="14"/>
    </row>
    <row r="7" spans="1:4" x14ac:dyDescent="0.3">
      <c r="A7" s="4" t="s">
        <v>26</v>
      </c>
      <c r="B7" s="4" t="s">
        <v>31</v>
      </c>
      <c r="C7" s="14"/>
      <c r="D7" s="14"/>
    </row>
    <row r="8" spans="1:4" x14ac:dyDescent="0.3">
      <c r="A8" s="4" t="s">
        <v>26</v>
      </c>
      <c r="B8" s="4" t="s">
        <v>32</v>
      </c>
      <c r="C8" s="14"/>
      <c r="D8" s="14"/>
    </row>
    <row r="9" spans="1:4" x14ac:dyDescent="0.3">
      <c r="A9" s="4" t="s">
        <v>26</v>
      </c>
      <c r="B9" s="4" t="s">
        <v>33</v>
      </c>
      <c r="C9" s="14"/>
      <c r="D9" s="14"/>
    </row>
    <row r="10" spans="1:4" x14ac:dyDescent="0.3">
      <c r="A10" s="4" t="s">
        <v>26</v>
      </c>
      <c r="B10" s="4" t="s">
        <v>34</v>
      </c>
      <c r="C10" s="14"/>
      <c r="D10" s="14"/>
    </row>
    <row r="11" spans="1:4" x14ac:dyDescent="0.3">
      <c r="A11" s="4" t="s">
        <v>26</v>
      </c>
      <c r="B11" s="4" t="s">
        <v>35</v>
      </c>
      <c r="C11" s="14"/>
      <c r="D11" s="14"/>
    </row>
    <row r="12" spans="1:4" x14ac:dyDescent="0.3">
      <c r="A12" s="4" t="s">
        <v>26</v>
      </c>
      <c r="B12" s="4" t="s">
        <v>36</v>
      </c>
      <c r="C12" s="14"/>
      <c r="D12" s="14"/>
    </row>
    <row r="18" spans="1:3" x14ac:dyDescent="0.3">
      <c r="A18" s="15" t="s">
        <v>37</v>
      </c>
      <c r="B18" s="15" t="s">
        <v>38</v>
      </c>
      <c r="C18" s="15" t="s">
        <v>39</v>
      </c>
    </row>
    <row r="19" spans="1:3" x14ac:dyDescent="0.3">
      <c r="A19" s="3" t="s">
        <v>40</v>
      </c>
      <c r="B19" s="94">
        <v>26.53</v>
      </c>
      <c r="C19" s="94">
        <v>3</v>
      </c>
    </row>
    <row r="20" spans="1:3" x14ac:dyDescent="0.3">
      <c r="A20" s="3" t="s">
        <v>41</v>
      </c>
      <c r="B20" s="14"/>
      <c r="C20" s="14"/>
    </row>
    <row r="21" spans="1:3" x14ac:dyDescent="0.3">
      <c r="A21" s="3" t="s">
        <v>41</v>
      </c>
      <c r="B21" s="14"/>
      <c r="C21" s="14"/>
    </row>
    <row r="22" spans="1:3" x14ac:dyDescent="0.3">
      <c r="A22" s="3" t="s">
        <v>41</v>
      </c>
      <c r="B22" s="14"/>
      <c r="C22" s="14"/>
    </row>
    <row r="23" spans="1:3" x14ac:dyDescent="0.3">
      <c r="A23" s="3" t="s">
        <v>41</v>
      </c>
      <c r="B23" s="14"/>
      <c r="C23" s="14"/>
    </row>
    <row r="24" spans="1:3" x14ac:dyDescent="0.3">
      <c r="A24" s="3" t="s">
        <v>41</v>
      </c>
      <c r="B24" s="14"/>
      <c r="C24" s="14"/>
    </row>
    <row r="25" spans="1:3" x14ac:dyDescent="0.3">
      <c r="A25" s="3" t="s">
        <v>41</v>
      </c>
      <c r="B25" s="14"/>
      <c r="C25" s="14"/>
    </row>
    <row r="26" spans="1:3" x14ac:dyDescent="0.3">
      <c r="A26" s="3" t="s">
        <v>41</v>
      </c>
      <c r="B26" s="14"/>
      <c r="C26" s="14"/>
    </row>
    <row r="27" spans="1:3" x14ac:dyDescent="0.3">
      <c r="A27" s="3" t="s">
        <v>41</v>
      </c>
      <c r="B27" s="14"/>
      <c r="C27" s="14"/>
    </row>
    <row r="28" spans="1:3" x14ac:dyDescent="0.3">
      <c r="A28" s="3" t="s">
        <v>41</v>
      </c>
      <c r="B28" s="14"/>
      <c r="C28" s="14"/>
    </row>
    <row r="29" spans="1:3" x14ac:dyDescent="0.3">
      <c r="A29" s="3" t="s">
        <v>41</v>
      </c>
      <c r="B29" s="14"/>
      <c r="C29" s="14"/>
    </row>
    <row r="30" spans="1:3" x14ac:dyDescent="0.3">
      <c r="A30" s="3" t="s">
        <v>41</v>
      </c>
      <c r="B30" s="14"/>
      <c r="C30" s="14"/>
    </row>
    <row r="33" spans="1:4" ht="22.8" x14ac:dyDescent="0.3">
      <c r="A33" s="16" t="s">
        <v>42</v>
      </c>
      <c r="B33" s="16" t="s">
        <v>43</v>
      </c>
      <c r="C33" s="16" t="s">
        <v>44</v>
      </c>
    </row>
    <row r="34" spans="1:4" x14ac:dyDescent="0.3">
      <c r="A34" s="17" t="s">
        <v>346</v>
      </c>
      <c r="B34" s="17">
        <v>2</v>
      </c>
      <c r="C34" s="17">
        <v>1</v>
      </c>
    </row>
    <row r="45" spans="1:4" ht="16.5" customHeight="1" x14ac:dyDescent="0.3">
      <c r="B45" s="127" t="s">
        <v>45</v>
      </c>
      <c r="C45" s="127"/>
      <c r="D45" s="127"/>
    </row>
    <row r="46" spans="1:4" ht="16.5" customHeight="1" x14ac:dyDescent="0.3">
      <c r="B46" s="126" t="s">
        <v>46</v>
      </c>
      <c r="C46" s="126"/>
      <c r="D46" s="95">
        <v>4.7300000000000002E-2</v>
      </c>
    </row>
    <row r="47" spans="1:4" ht="16.5" customHeight="1" x14ac:dyDescent="0.3">
      <c r="B47" s="126" t="s">
        <v>47</v>
      </c>
      <c r="C47" s="126"/>
      <c r="D47" s="95">
        <v>5.57E-2</v>
      </c>
    </row>
    <row r="48" spans="1:4" ht="16.5" customHeight="1" x14ac:dyDescent="0.3">
      <c r="B48" s="126" t="s">
        <v>48</v>
      </c>
      <c r="C48" s="126"/>
      <c r="D48" s="19">
        <f>SUM(D46:D47)</f>
        <v>0.10300000000000001</v>
      </c>
    </row>
    <row r="49" spans="2:4" x14ac:dyDescent="0.3">
      <c r="B49" s="20"/>
      <c r="C49" s="20"/>
    </row>
    <row r="50" spans="2:4" x14ac:dyDescent="0.3">
      <c r="B50" s="20"/>
      <c r="C50" s="20"/>
      <c r="D50" s="21"/>
    </row>
    <row r="51" spans="2:4" x14ac:dyDescent="0.3">
      <c r="C51" s="22"/>
      <c r="D51" s="22"/>
    </row>
    <row r="52" spans="2:4" ht="16.5" customHeight="1" x14ac:dyDescent="0.3">
      <c r="B52" s="127" t="s">
        <v>49</v>
      </c>
      <c r="C52" s="127"/>
      <c r="D52" s="127"/>
    </row>
    <row r="53" spans="2:4" ht="16.5" customHeight="1" x14ac:dyDescent="0.3">
      <c r="B53" s="126" t="s">
        <v>50</v>
      </c>
      <c r="C53" s="126"/>
      <c r="D53" s="18">
        <v>6.4999999999999997E-3</v>
      </c>
    </row>
    <row r="54" spans="2:4" ht="16.5" customHeight="1" x14ac:dyDescent="0.3">
      <c r="B54" s="126" t="s">
        <v>51</v>
      </c>
      <c r="C54" s="126"/>
      <c r="D54" s="18">
        <v>0.03</v>
      </c>
    </row>
    <row r="55" spans="2:4" ht="16.5" customHeight="1" x14ac:dyDescent="0.3">
      <c r="B55" s="126" t="s">
        <v>52</v>
      </c>
      <c r="C55" s="126"/>
      <c r="D55" s="18">
        <v>0.05</v>
      </c>
    </row>
    <row r="56" spans="2:4" ht="16.5" customHeight="1" x14ac:dyDescent="0.3">
      <c r="B56" s="126" t="s">
        <v>48</v>
      </c>
      <c r="C56" s="126"/>
      <c r="D56" s="19">
        <f>SUM(D53:D55)</f>
        <v>8.6499999999999994E-2</v>
      </c>
    </row>
  </sheetData>
  <mergeCells count="11">
    <mergeCell ref="A1:D1"/>
    <mergeCell ref="A2:B2"/>
    <mergeCell ref="B45:D45"/>
    <mergeCell ref="B46:C46"/>
    <mergeCell ref="B47:C47"/>
    <mergeCell ref="B56:C56"/>
    <mergeCell ref="B48:C48"/>
    <mergeCell ref="B52:D52"/>
    <mergeCell ref="B53:C53"/>
    <mergeCell ref="B54:C54"/>
    <mergeCell ref="B55:C55"/>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5"/>
  <sheetViews>
    <sheetView zoomScale="90" zoomScaleNormal="90" workbookViewId="0">
      <selection activeCell="F7" sqref="F7"/>
    </sheetView>
  </sheetViews>
  <sheetFormatPr defaultColWidth="8.6640625" defaultRowHeight="14.4" x14ac:dyDescent="0.3"/>
  <cols>
    <col min="2" max="2" width="68.88671875" customWidth="1"/>
    <col min="3" max="3" width="15.44140625" customWidth="1"/>
    <col min="4" max="4" width="18.33203125" customWidth="1"/>
    <col min="5" max="5" width="16.33203125" customWidth="1"/>
    <col min="6" max="6" width="15.33203125" customWidth="1"/>
    <col min="7" max="7" width="18.109375" customWidth="1"/>
    <col min="8" max="8" width="14" customWidth="1"/>
    <col min="9" max="9" width="24.109375" customWidth="1"/>
  </cols>
  <sheetData>
    <row r="1" spans="1:9" x14ac:dyDescent="0.3">
      <c r="A1" s="131" t="s">
        <v>53</v>
      </c>
      <c r="B1" s="131"/>
      <c r="C1" s="131"/>
      <c r="D1" s="131"/>
      <c r="E1" s="131"/>
      <c r="F1" s="131"/>
      <c r="G1" s="131"/>
      <c r="H1" s="131"/>
      <c r="I1" s="131"/>
    </row>
    <row r="2" spans="1:9" x14ac:dyDescent="0.3">
      <c r="A2" s="131" t="s">
        <v>54</v>
      </c>
      <c r="B2" s="131"/>
      <c r="C2" s="131"/>
      <c r="D2" s="131"/>
      <c r="E2" s="131"/>
      <c r="F2" s="131"/>
      <c r="G2" s="131"/>
      <c r="H2" s="131"/>
      <c r="I2" s="131"/>
    </row>
    <row r="3" spans="1:9" ht="55.5" customHeight="1" x14ac:dyDescent="0.3">
      <c r="A3" s="4" t="s">
        <v>1</v>
      </c>
      <c r="B3" s="4" t="s">
        <v>55</v>
      </c>
      <c r="C3" s="4" t="s">
        <v>56</v>
      </c>
      <c r="D3" s="4" t="s">
        <v>57</v>
      </c>
      <c r="E3" s="4" t="s">
        <v>58</v>
      </c>
      <c r="F3" s="4" t="s">
        <v>59</v>
      </c>
      <c r="G3" s="4" t="s">
        <v>60</v>
      </c>
      <c r="H3" s="4" t="s">
        <v>61</v>
      </c>
      <c r="I3" s="4" t="s">
        <v>62</v>
      </c>
    </row>
    <row r="4" spans="1:9" ht="27" customHeight="1" x14ac:dyDescent="0.3">
      <c r="A4" s="6">
        <v>1</v>
      </c>
      <c r="B4" s="23" t="s">
        <v>63</v>
      </c>
      <c r="C4" s="129">
        <v>1</v>
      </c>
      <c r="D4" s="2">
        <v>2</v>
      </c>
      <c r="E4" s="6">
        <v>2</v>
      </c>
      <c r="F4" s="96">
        <v>79.599999999999994</v>
      </c>
      <c r="G4" s="25">
        <f>D4*E4*F4</f>
        <v>318.39999999999998</v>
      </c>
      <c r="H4" s="25">
        <f>TRUNC(($C$4*G4),2)</f>
        <v>318.39999999999998</v>
      </c>
      <c r="I4" s="25">
        <f>TRUNC((H4/12),2)</f>
        <v>26.53</v>
      </c>
    </row>
    <row r="5" spans="1:9" x14ac:dyDescent="0.3">
      <c r="A5" s="6">
        <v>2</v>
      </c>
      <c r="B5" s="23" t="s">
        <v>64</v>
      </c>
      <c r="C5" s="129"/>
      <c r="D5" s="2">
        <v>2</v>
      </c>
      <c r="E5" s="6">
        <v>2</v>
      </c>
      <c r="F5" s="96">
        <v>127.28</v>
      </c>
      <c r="G5" s="25">
        <f>D5*E5*F5</f>
        <v>509.12</v>
      </c>
      <c r="H5" s="25">
        <f>TRUNC(($C$4*G5),2)</f>
        <v>509.12</v>
      </c>
      <c r="I5" s="25">
        <f>TRUNC((H5/12),2)</f>
        <v>42.42</v>
      </c>
    </row>
    <row r="6" spans="1:9" ht="44.25" customHeight="1" x14ac:dyDescent="0.3">
      <c r="A6" s="6">
        <v>3</v>
      </c>
      <c r="B6" s="23" t="s">
        <v>65</v>
      </c>
      <c r="C6" s="129"/>
      <c r="D6" s="2">
        <v>1</v>
      </c>
      <c r="E6" s="6">
        <v>2</v>
      </c>
      <c r="F6" s="96">
        <v>50.68</v>
      </c>
      <c r="G6" s="25">
        <f>D6*E6*F6</f>
        <v>101.36</v>
      </c>
      <c r="H6" s="25">
        <f>TRUNC(($C$4*G6),2)</f>
        <v>101.36</v>
      </c>
      <c r="I6" s="25">
        <f>TRUNC((H6/12),2)</f>
        <v>8.44</v>
      </c>
    </row>
    <row r="7" spans="1:9" ht="24.75" customHeight="1" x14ac:dyDescent="0.3">
      <c r="A7" s="6">
        <v>4</v>
      </c>
      <c r="B7" s="23" t="s">
        <v>66</v>
      </c>
      <c r="C7" s="129"/>
      <c r="D7" s="2">
        <v>1</v>
      </c>
      <c r="E7" s="6">
        <v>2</v>
      </c>
      <c r="F7" s="96">
        <v>85.57</v>
      </c>
      <c r="G7" s="25">
        <f>D7*E7*F7</f>
        <v>171.14</v>
      </c>
      <c r="H7" s="25">
        <f>TRUNC(($C$4*G7),2)</f>
        <v>171.14</v>
      </c>
      <c r="I7" s="25">
        <f>TRUNC((H7/12),2)</f>
        <v>14.26</v>
      </c>
    </row>
    <row r="8" spans="1:9" ht="33" customHeight="1" x14ac:dyDescent="0.3">
      <c r="A8" s="6">
        <v>5</v>
      </c>
      <c r="B8" s="23" t="s">
        <v>67</v>
      </c>
      <c r="C8" s="129"/>
      <c r="D8" s="2">
        <v>1</v>
      </c>
      <c r="E8" s="6">
        <v>2</v>
      </c>
      <c r="F8" s="96">
        <v>9.23</v>
      </c>
      <c r="G8" s="25">
        <f>D8*E8*F8</f>
        <v>18.46</v>
      </c>
      <c r="H8" s="25">
        <f>TRUNC(($C$4*G8),2)</f>
        <v>18.46</v>
      </c>
      <c r="I8" s="25">
        <f>TRUNC((H8/12),2)</f>
        <v>1.53</v>
      </c>
    </row>
    <row r="9" spans="1:9" x14ac:dyDescent="0.3">
      <c r="A9" s="26"/>
      <c r="B9" s="132" t="s">
        <v>48</v>
      </c>
      <c r="C9" s="132"/>
      <c r="D9" s="132"/>
      <c r="E9" s="132"/>
      <c r="F9" s="27">
        <f>SUM(F4:F8)</f>
        <v>352.36</v>
      </c>
      <c r="G9" s="27">
        <f>SUM(G4:G8)</f>
        <v>1118.48</v>
      </c>
      <c r="H9" s="27">
        <f>SUM(H4:H8)</f>
        <v>1118.48</v>
      </c>
      <c r="I9" s="98">
        <f>SUM(I4:I8)</f>
        <v>93.18</v>
      </c>
    </row>
    <row r="10" spans="1:9" x14ac:dyDescent="0.3">
      <c r="A10" s="28"/>
      <c r="B10" s="28"/>
      <c r="C10" s="28"/>
      <c r="D10" s="28"/>
      <c r="E10" s="28"/>
      <c r="F10" s="28"/>
      <c r="G10" s="28"/>
      <c r="H10" s="28"/>
      <c r="I10" s="28"/>
    </row>
    <row r="11" spans="1:9" x14ac:dyDescent="0.3">
      <c r="A11" s="28"/>
      <c r="B11" s="28"/>
      <c r="C11" s="28"/>
      <c r="D11" s="28"/>
      <c r="E11" s="28"/>
      <c r="F11" s="28"/>
      <c r="G11" s="28"/>
      <c r="H11" s="28"/>
      <c r="I11" s="28"/>
    </row>
    <row r="12" spans="1:9" x14ac:dyDescent="0.3">
      <c r="A12" s="131" t="s">
        <v>54</v>
      </c>
      <c r="B12" s="131"/>
      <c r="C12" s="131"/>
      <c r="D12" s="131"/>
      <c r="E12" s="131"/>
      <c r="F12" s="131"/>
      <c r="G12" s="131"/>
      <c r="H12" s="131"/>
      <c r="I12" s="131"/>
    </row>
    <row r="13" spans="1:9" ht="20.399999999999999" x14ac:dyDescent="0.3">
      <c r="A13" s="4" t="s">
        <v>1</v>
      </c>
      <c r="B13" s="4" t="s">
        <v>55</v>
      </c>
      <c r="C13" s="4" t="s">
        <v>56</v>
      </c>
      <c r="D13" s="4" t="s">
        <v>57</v>
      </c>
      <c r="E13" s="4" t="s">
        <v>58</v>
      </c>
      <c r="F13" s="4" t="s">
        <v>59</v>
      </c>
      <c r="G13" s="4" t="s">
        <v>60</v>
      </c>
      <c r="H13" s="4" t="s">
        <v>61</v>
      </c>
      <c r="I13" s="4" t="s">
        <v>62</v>
      </c>
    </row>
    <row r="14" spans="1:9" ht="20.399999999999999" x14ac:dyDescent="0.3">
      <c r="A14" s="6">
        <v>1</v>
      </c>
      <c r="B14" s="23" t="s">
        <v>63</v>
      </c>
      <c r="C14" s="129">
        <v>1</v>
      </c>
      <c r="D14" s="2">
        <v>1</v>
      </c>
      <c r="E14" s="6">
        <v>1</v>
      </c>
      <c r="F14" s="96">
        <v>79.599999999999994</v>
      </c>
      <c r="G14" s="25">
        <f>TRUNC((D14*E14*F14),2)</f>
        <v>79.599999999999994</v>
      </c>
      <c r="H14" s="25">
        <f>TRUNC(($C$4*G14),2)</f>
        <v>79.599999999999994</v>
      </c>
      <c r="I14" s="25">
        <f>TRUNC((H14/12),2)</f>
        <v>6.63</v>
      </c>
    </row>
    <row r="15" spans="1:9" x14ac:dyDescent="0.3">
      <c r="A15" s="6">
        <v>2</v>
      </c>
      <c r="B15" s="23" t="s">
        <v>64</v>
      </c>
      <c r="C15" s="129"/>
      <c r="D15" s="2">
        <v>1</v>
      </c>
      <c r="E15" s="6">
        <v>1</v>
      </c>
      <c r="F15" s="96">
        <v>127.28</v>
      </c>
      <c r="G15" s="25">
        <f>TRUNC((D15*E15*F15),2)</f>
        <v>127.28</v>
      </c>
      <c r="H15" s="25">
        <f>TRUNC(($C$4*G15),2)</f>
        <v>127.28</v>
      </c>
      <c r="I15" s="25">
        <f>TRUNC((H15/12),2)</f>
        <v>10.6</v>
      </c>
    </row>
    <row r="16" spans="1:9" ht="20.399999999999999" x14ac:dyDescent="0.3">
      <c r="A16" s="6">
        <v>3</v>
      </c>
      <c r="B16" s="23" t="s">
        <v>65</v>
      </c>
      <c r="C16" s="129"/>
      <c r="D16" s="2">
        <v>1</v>
      </c>
      <c r="E16" s="6">
        <v>1</v>
      </c>
      <c r="F16" s="96">
        <v>50.68</v>
      </c>
      <c r="G16" s="25">
        <f>TRUNC((D16*E16*F16),2)</f>
        <v>50.68</v>
      </c>
      <c r="H16" s="25">
        <f>TRUNC(($C$4*G16),2)</f>
        <v>50.68</v>
      </c>
      <c r="I16" s="25">
        <f>TRUNC((H16/12),2)</f>
        <v>4.22</v>
      </c>
    </row>
    <row r="17" spans="1:9" ht="20.399999999999999" x14ac:dyDescent="0.3">
      <c r="A17" s="6">
        <v>4</v>
      </c>
      <c r="B17" s="23" t="s">
        <v>66</v>
      </c>
      <c r="C17" s="129"/>
      <c r="D17" s="2">
        <v>1</v>
      </c>
      <c r="E17" s="6">
        <v>1</v>
      </c>
      <c r="F17" s="96">
        <v>85.57</v>
      </c>
      <c r="G17" s="25">
        <f>TRUNC((D17*E17*F17),2)</f>
        <v>85.57</v>
      </c>
      <c r="H17" s="25">
        <f>TRUNC(($C$4*G17),2)</f>
        <v>85.57</v>
      </c>
      <c r="I17" s="25">
        <f>TRUNC((H17/12),2)</f>
        <v>7.13</v>
      </c>
    </row>
    <row r="18" spans="1:9" x14ac:dyDescent="0.3">
      <c r="A18" s="6">
        <v>5</v>
      </c>
      <c r="B18" s="23" t="s">
        <v>67</v>
      </c>
      <c r="C18" s="129"/>
      <c r="D18" s="2">
        <v>1</v>
      </c>
      <c r="E18" s="6">
        <v>1</v>
      </c>
      <c r="F18" s="96">
        <v>9.23</v>
      </c>
      <c r="G18" s="25">
        <f>TRUNC((D18*E18*F18),2)</f>
        <v>9.23</v>
      </c>
      <c r="H18" s="25">
        <f>TRUNC(($C$4*G18),2)</f>
        <v>9.23</v>
      </c>
      <c r="I18" s="25">
        <f>TRUNC((H18/12),2)</f>
        <v>0.76</v>
      </c>
    </row>
    <row r="19" spans="1:9" x14ac:dyDescent="0.3">
      <c r="A19" s="6"/>
      <c r="B19" s="130" t="s">
        <v>48</v>
      </c>
      <c r="C19" s="130"/>
      <c r="D19" s="130"/>
      <c r="E19" s="130"/>
      <c r="F19" s="24">
        <f>TRUNC(SUM(F14:F18),2)</f>
        <v>352.36</v>
      </c>
      <c r="G19" s="24">
        <f>TRUNC(SUM(G14:G18),2)</f>
        <v>352.36</v>
      </c>
      <c r="H19" s="24">
        <f>TRUNC(SUM(H14:H18),2)</f>
        <v>352.36</v>
      </c>
      <c r="I19" s="97">
        <f>TRUNC(SUM(I14:I18),2)</f>
        <v>29.34</v>
      </c>
    </row>
    <row r="20" spans="1:9" x14ac:dyDescent="0.3">
      <c r="A20" s="29"/>
      <c r="B20" s="29"/>
      <c r="C20" s="29"/>
      <c r="D20" s="29"/>
      <c r="E20" s="29"/>
      <c r="F20" s="29"/>
      <c r="G20" s="29"/>
      <c r="H20" s="29"/>
      <c r="I20" s="29"/>
    </row>
    <row r="21" spans="1:9" x14ac:dyDescent="0.3">
      <c r="A21" s="29"/>
      <c r="B21" s="30"/>
      <c r="C21" s="29"/>
      <c r="D21" s="29"/>
      <c r="E21" s="29"/>
      <c r="F21" s="29"/>
      <c r="G21" s="29"/>
      <c r="H21" s="29"/>
      <c r="I21" s="29"/>
    </row>
    <row r="22" spans="1:9" x14ac:dyDescent="0.3">
      <c r="A22" s="29"/>
      <c r="B22" s="29"/>
      <c r="C22" s="29"/>
      <c r="D22" s="29"/>
      <c r="E22" s="29"/>
      <c r="F22" s="29"/>
      <c r="G22" s="29"/>
      <c r="H22" s="29"/>
      <c r="I22" s="29"/>
    </row>
    <row r="23" spans="1:9" x14ac:dyDescent="0.3">
      <c r="A23" s="29"/>
      <c r="B23" s="29"/>
      <c r="C23" s="29"/>
      <c r="D23" s="29"/>
      <c r="E23" s="29"/>
      <c r="F23" s="29"/>
      <c r="G23" s="29"/>
      <c r="H23" s="29"/>
      <c r="I23" s="29"/>
    </row>
    <row r="24" spans="1:9" x14ac:dyDescent="0.3">
      <c r="A24" s="29"/>
      <c r="B24" s="29"/>
      <c r="C24" s="29"/>
      <c r="D24" s="29"/>
      <c r="E24" s="29"/>
      <c r="F24" s="29"/>
      <c r="G24" s="29"/>
      <c r="H24" s="29"/>
      <c r="I24" s="29"/>
    </row>
    <row r="25" spans="1:9" x14ac:dyDescent="0.3">
      <c r="A25" s="29"/>
      <c r="B25" s="29"/>
      <c r="C25" s="29"/>
      <c r="D25" s="29"/>
      <c r="E25" s="29"/>
      <c r="F25" s="29"/>
      <c r="G25" s="29"/>
      <c r="H25" s="29"/>
      <c r="I25" s="29"/>
    </row>
    <row r="26" spans="1:9" x14ac:dyDescent="0.3">
      <c r="A26" s="29"/>
      <c r="B26" s="29"/>
      <c r="C26" s="29"/>
      <c r="D26" s="29"/>
      <c r="E26" s="29"/>
      <c r="F26" s="29"/>
      <c r="G26" s="29"/>
      <c r="H26" s="29"/>
      <c r="I26" s="29"/>
    </row>
    <row r="27" spans="1:9" x14ac:dyDescent="0.3">
      <c r="A27" s="29"/>
      <c r="B27" s="29"/>
      <c r="C27" s="29"/>
      <c r="D27" s="29"/>
      <c r="E27" s="29"/>
      <c r="F27" s="29"/>
      <c r="G27" s="29"/>
      <c r="H27" s="29"/>
      <c r="I27" s="29"/>
    </row>
    <row r="28" spans="1:9" x14ac:dyDescent="0.3">
      <c r="A28" s="29"/>
      <c r="B28" s="29"/>
      <c r="C28" s="29"/>
      <c r="D28" s="29"/>
      <c r="E28" s="29"/>
      <c r="F28" s="29"/>
      <c r="G28" s="29"/>
      <c r="H28" s="29"/>
      <c r="I28" s="29"/>
    </row>
    <row r="29" spans="1:9" x14ac:dyDescent="0.3">
      <c r="A29" s="29"/>
      <c r="B29" s="29"/>
      <c r="C29" s="29"/>
      <c r="D29" s="29"/>
      <c r="E29" s="29"/>
      <c r="F29" s="29"/>
      <c r="G29" s="29"/>
      <c r="H29" s="29"/>
      <c r="I29" s="29"/>
    </row>
    <row r="30" spans="1:9" x14ac:dyDescent="0.3">
      <c r="A30" s="29"/>
      <c r="B30" s="29"/>
      <c r="C30" s="29"/>
      <c r="D30" s="29"/>
      <c r="E30" s="29"/>
      <c r="F30" s="29"/>
      <c r="G30" s="29"/>
      <c r="H30" s="29"/>
      <c r="I30" s="29"/>
    </row>
    <row r="31" spans="1:9" x14ac:dyDescent="0.3">
      <c r="A31" s="29"/>
      <c r="B31" s="29"/>
      <c r="C31" s="29"/>
      <c r="D31" s="29"/>
      <c r="E31" s="29"/>
      <c r="F31" s="29"/>
      <c r="G31" s="29"/>
      <c r="H31" s="29"/>
      <c r="I31" s="29"/>
    </row>
    <row r="32" spans="1:9" x14ac:dyDescent="0.3">
      <c r="A32" s="29"/>
      <c r="B32" s="29"/>
      <c r="C32" s="29"/>
      <c r="D32" s="29"/>
      <c r="E32" s="29"/>
      <c r="F32" s="29"/>
      <c r="G32" s="29"/>
      <c r="H32" s="29"/>
      <c r="I32" s="29"/>
    </row>
    <row r="33" spans="1:9" x14ac:dyDescent="0.3">
      <c r="A33" s="29"/>
      <c r="B33" s="29"/>
      <c r="C33" s="29"/>
      <c r="D33" s="29"/>
      <c r="E33" s="29"/>
      <c r="F33" s="29"/>
      <c r="G33" s="29"/>
      <c r="H33" s="29"/>
      <c r="I33" s="29"/>
    </row>
    <row r="34" spans="1:9" x14ac:dyDescent="0.3">
      <c r="A34" s="29"/>
      <c r="B34" s="29"/>
      <c r="C34" s="29"/>
      <c r="D34" s="29"/>
      <c r="E34" s="29"/>
      <c r="F34" s="29"/>
      <c r="G34" s="29"/>
      <c r="H34" s="29"/>
      <c r="I34" s="29"/>
    </row>
    <row r="35" spans="1:9" x14ac:dyDescent="0.3">
      <c r="A35" s="29"/>
      <c r="B35" s="29"/>
      <c r="C35" s="29"/>
      <c r="D35" s="29"/>
      <c r="E35" s="29"/>
      <c r="F35" s="29"/>
      <c r="G35" s="29"/>
      <c r="H35" s="29"/>
      <c r="I35" s="29"/>
    </row>
  </sheetData>
  <sheetProtection sheet="1" objects="1" scenarios="1"/>
  <protectedRanges>
    <protectedRange sqref="F4:F8 F14:F18" name="Intervalo1"/>
  </protectedRanges>
  <mergeCells count="7">
    <mergeCell ref="C14:C18"/>
    <mergeCell ref="B19:E19"/>
    <mergeCell ref="A1:I1"/>
    <mergeCell ref="A2:I2"/>
    <mergeCell ref="C4:C8"/>
    <mergeCell ref="B9:E9"/>
    <mergeCell ref="A12:I12"/>
  </mergeCells>
  <pageMargins left="0.7" right="0.7" top="0.75" bottom="0.75" header="0.511811023622047" footer="0.511811023622047"/>
  <pageSetup paperSize="9" orientation="portrait" horizontalDpi="300" verticalDpi="30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9"/>
  <sheetViews>
    <sheetView zoomScale="90" zoomScaleNormal="90" workbookViewId="0">
      <selection activeCell="D7" sqref="D7"/>
    </sheetView>
  </sheetViews>
  <sheetFormatPr defaultColWidth="8.6640625" defaultRowHeight="14.4" x14ac:dyDescent="0.3"/>
  <cols>
    <col min="2" max="2" width="45.5546875" customWidth="1"/>
    <col min="3" max="3" width="24.109375" customWidth="1"/>
    <col min="4" max="7" width="18.109375" customWidth="1"/>
    <col min="8" max="8" width="18.33203125" customWidth="1"/>
    <col min="9" max="9" width="27.5546875" customWidth="1"/>
  </cols>
  <sheetData>
    <row r="1" spans="1:9" s="5" customFormat="1" ht="19.5" customHeight="1" x14ac:dyDescent="0.3">
      <c r="A1" s="113" t="s">
        <v>68</v>
      </c>
      <c r="B1" s="113"/>
      <c r="C1" s="113"/>
      <c r="D1" s="113"/>
      <c r="E1" s="113"/>
      <c r="F1" s="113"/>
      <c r="G1" s="113"/>
      <c r="H1" s="113"/>
      <c r="I1" s="113"/>
    </row>
    <row r="2" spans="1:9" ht="30" customHeight="1" x14ac:dyDescent="0.3">
      <c r="A2" s="31" t="s">
        <v>1</v>
      </c>
      <c r="B2" s="32" t="s">
        <v>69</v>
      </c>
      <c r="C2" s="32" t="s">
        <v>70</v>
      </c>
      <c r="D2" s="4" t="s">
        <v>71</v>
      </c>
      <c r="E2" s="4" t="s">
        <v>72</v>
      </c>
      <c r="F2" s="4" t="s">
        <v>73</v>
      </c>
      <c r="G2" s="4" t="s">
        <v>74</v>
      </c>
      <c r="H2" s="32" t="s">
        <v>75</v>
      </c>
      <c r="I2" s="32" t="s">
        <v>76</v>
      </c>
    </row>
    <row r="3" spans="1:9" s="5" customFormat="1" ht="19.5" customHeight="1" x14ac:dyDescent="0.3">
      <c r="A3" s="1">
        <v>1</v>
      </c>
      <c r="B3" s="33" t="s">
        <v>77</v>
      </c>
      <c r="C3" s="34" t="s">
        <v>78</v>
      </c>
      <c r="D3" s="99">
        <v>2.89</v>
      </c>
      <c r="E3" s="35">
        <f>TRUNC((D3*'Salários.VA.VT.QteDias'!$D$48),2)</f>
        <v>0.28999999999999998</v>
      </c>
      <c r="F3" s="35">
        <f>TRUNC((((D3+E3)/(1-'Salários.VA.VT.QteDias'!$D$56))*'Salários.VA.VT.QteDias'!$D$56),2)</f>
        <v>0.3</v>
      </c>
      <c r="G3" s="35">
        <f t="shared" ref="G3:G20" si="0">TRUNC((D3+E3+F3),2)</f>
        <v>3.48</v>
      </c>
      <c r="H3" s="34">
        <v>6</v>
      </c>
      <c r="I3" s="35">
        <f t="shared" ref="I3:I20" si="1">TRUNC((G3*H3),2)</f>
        <v>20.88</v>
      </c>
    </row>
    <row r="4" spans="1:9" s="5" customFormat="1" ht="19.5" customHeight="1" x14ac:dyDescent="0.3">
      <c r="A4" s="1">
        <v>2</v>
      </c>
      <c r="B4" s="33" t="s">
        <v>79</v>
      </c>
      <c r="C4" s="34" t="s">
        <v>78</v>
      </c>
      <c r="D4" s="99">
        <v>10.82</v>
      </c>
      <c r="E4" s="35">
        <f>TRUNC((D4*'Salários.VA.VT.QteDias'!$D$48),2)</f>
        <v>1.1100000000000001</v>
      </c>
      <c r="F4" s="35">
        <f>TRUNC((((D4+E4)/(1-'Salários.VA.VT.QteDias'!$D$56))*'Salários.VA.VT.QteDias'!$D$56),2)</f>
        <v>1.1200000000000001</v>
      </c>
      <c r="G4" s="35">
        <f t="shared" si="0"/>
        <v>13.05</v>
      </c>
      <c r="H4" s="34">
        <v>2</v>
      </c>
      <c r="I4" s="35">
        <f t="shared" si="1"/>
        <v>26.1</v>
      </c>
    </row>
    <row r="5" spans="1:9" s="5" customFormat="1" ht="19.5" customHeight="1" x14ac:dyDescent="0.3">
      <c r="A5" s="1">
        <v>3</v>
      </c>
      <c r="B5" s="33" t="s">
        <v>80</v>
      </c>
      <c r="C5" s="34" t="s">
        <v>81</v>
      </c>
      <c r="D5" s="99">
        <v>17.16</v>
      </c>
      <c r="E5" s="35">
        <f>TRUNC((D5*'Salários.VA.VT.QteDias'!$D$48),2)</f>
        <v>1.76</v>
      </c>
      <c r="F5" s="35">
        <f>TRUNC((((D5+E5)/(1-'Salários.VA.VT.QteDias'!$D$56))*'Salários.VA.VT.QteDias'!$D$56),2)</f>
        <v>1.79</v>
      </c>
      <c r="G5" s="35">
        <f t="shared" si="0"/>
        <v>20.71</v>
      </c>
      <c r="H5" s="34">
        <v>6</v>
      </c>
      <c r="I5" s="35">
        <f t="shared" si="1"/>
        <v>124.26</v>
      </c>
    </row>
    <row r="6" spans="1:9" s="5" customFormat="1" ht="19.5" customHeight="1" x14ac:dyDescent="0.3">
      <c r="A6" s="1">
        <v>4</v>
      </c>
      <c r="B6" s="33" t="s">
        <v>82</v>
      </c>
      <c r="C6" s="34" t="s">
        <v>83</v>
      </c>
      <c r="D6" s="99">
        <v>66.33</v>
      </c>
      <c r="E6" s="35">
        <f>TRUNC((D6*'Salários.VA.VT.QteDias'!$D$48),2)</f>
        <v>6.83</v>
      </c>
      <c r="F6" s="35">
        <f>TRUNC((((D6+E6)/(1-'Salários.VA.VT.QteDias'!$D$56))*'Salários.VA.VT.QteDias'!$D$56),2)</f>
        <v>6.92</v>
      </c>
      <c r="G6" s="35">
        <f t="shared" si="0"/>
        <v>80.08</v>
      </c>
      <c r="H6" s="34">
        <v>6</v>
      </c>
      <c r="I6" s="35">
        <f t="shared" si="1"/>
        <v>480.48</v>
      </c>
    </row>
    <row r="7" spans="1:9" s="5" customFormat="1" ht="19.5" customHeight="1" x14ac:dyDescent="0.3">
      <c r="A7" s="1">
        <v>5</v>
      </c>
      <c r="B7" s="33" t="s">
        <v>84</v>
      </c>
      <c r="C7" s="34" t="s">
        <v>85</v>
      </c>
      <c r="D7" s="99">
        <v>3.62</v>
      </c>
      <c r="E7" s="35">
        <f>TRUNC((D7*'Salários.VA.VT.QteDias'!$D$48),2)</f>
        <v>0.37</v>
      </c>
      <c r="F7" s="35">
        <f>TRUNC((((D7+E7)/(1-'Salários.VA.VT.QteDias'!$D$56))*'Salários.VA.VT.QteDias'!$D$56),2)</f>
        <v>0.37</v>
      </c>
      <c r="G7" s="35">
        <f t="shared" si="0"/>
        <v>4.3600000000000003</v>
      </c>
      <c r="H7" s="34">
        <v>2</v>
      </c>
      <c r="I7" s="35">
        <f t="shared" si="1"/>
        <v>8.7200000000000006</v>
      </c>
    </row>
    <row r="8" spans="1:9" s="5" customFormat="1" ht="19.5" customHeight="1" x14ac:dyDescent="0.3">
      <c r="A8" s="1">
        <v>6</v>
      </c>
      <c r="B8" s="33" t="s">
        <v>86</v>
      </c>
      <c r="C8" s="34" t="s">
        <v>87</v>
      </c>
      <c r="D8" s="99">
        <v>2.9</v>
      </c>
      <c r="E8" s="35">
        <f>TRUNC((D8*'Salários.VA.VT.QteDias'!$D$48),2)</f>
        <v>0.28999999999999998</v>
      </c>
      <c r="F8" s="35">
        <f>TRUNC((((D8+E8)/(1-'Salários.VA.VT.QteDias'!$D$56))*'Salários.VA.VT.QteDias'!$D$56),2)</f>
        <v>0.3</v>
      </c>
      <c r="G8" s="35">
        <f t="shared" si="0"/>
        <v>3.49</v>
      </c>
      <c r="H8" s="34">
        <v>12</v>
      </c>
      <c r="I8" s="35">
        <f t="shared" si="1"/>
        <v>41.88</v>
      </c>
    </row>
    <row r="9" spans="1:9" s="5" customFormat="1" ht="19.5" customHeight="1" x14ac:dyDescent="0.3">
      <c r="A9" s="1">
        <v>7</v>
      </c>
      <c r="B9" s="33" t="s">
        <v>88</v>
      </c>
      <c r="C9" s="34" t="s">
        <v>89</v>
      </c>
      <c r="D9" s="99">
        <v>39.61</v>
      </c>
      <c r="E9" s="35">
        <f>TRUNC((D9*'Salários.VA.VT.QteDias'!$D$48),2)</f>
        <v>4.07</v>
      </c>
      <c r="F9" s="35">
        <f>TRUNC((((D9+E9)/(1-'Salários.VA.VT.QteDias'!$D$56))*'Salários.VA.VT.QteDias'!$D$56),2)</f>
        <v>4.13</v>
      </c>
      <c r="G9" s="35">
        <f t="shared" si="0"/>
        <v>47.81</v>
      </c>
      <c r="H9" s="34">
        <v>1</v>
      </c>
      <c r="I9" s="35">
        <f t="shared" si="1"/>
        <v>47.81</v>
      </c>
    </row>
    <row r="10" spans="1:9" s="5" customFormat="1" ht="19.5" customHeight="1" x14ac:dyDescent="0.3">
      <c r="A10" s="1">
        <v>8</v>
      </c>
      <c r="B10" s="33" t="s">
        <v>90</v>
      </c>
      <c r="C10" s="34" t="s">
        <v>91</v>
      </c>
      <c r="D10" s="99">
        <v>44.93</v>
      </c>
      <c r="E10" s="35">
        <f>TRUNC((D10*'Salários.VA.VT.QteDias'!$D$48),2)</f>
        <v>4.62</v>
      </c>
      <c r="F10" s="35">
        <f>TRUNC((((D10+E10)/(1-'Salários.VA.VT.QteDias'!$D$56))*'Salários.VA.VT.QteDias'!$D$56),2)</f>
        <v>4.6900000000000004</v>
      </c>
      <c r="G10" s="35">
        <f t="shared" si="0"/>
        <v>54.24</v>
      </c>
      <c r="H10" s="34">
        <v>3</v>
      </c>
      <c r="I10" s="35">
        <f t="shared" si="1"/>
        <v>162.72</v>
      </c>
    </row>
    <row r="11" spans="1:9" s="5" customFormat="1" ht="19.5" customHeight="1" x14ac:dyDescent="0.3">
      <c r="A11" s="1">
        <v>9</v>
      </c>
      <c r="B11" s="33" t="s">
        <v>92</v>
      </c>
      <c r="C11" s="34" t="s">
        <v>85</v>
      </c>
      <c r="D11" s="99">
        <v>24.46</v>
      </c>
      <c r="E11" s="35">
        <f>TRUNC((D11*'Salários.VA.VT.QteDias'!$D$48),2)</f>
        <v>2.5099999999999998</v>
      </c>
      <c r="F11" s="35">
        <f>TRUNC((((D11+E11)/(1-'Salários.VA.VT.QteDias'!$D$56))*'Salários.VA.VT.QteDias'!$D$56),2)</f>
        <v>2.5499999999999998</v>
      </c>
      <c r="G11" s="35">
        <f t="shared" si="0"/>
        <v>29.52</v>
      </c>
      <c r="H11" s="34">
        <v>3</v>
      </c>
      <c r="I11" s="35">
        <f t="shared" si="1"/>
        <v>88.56</v>
      </c>
    </row>
    <row r="12" spans="1:9" s="5" customFormat="1" ht="19.5" customHeight="1" x14ac:dyDescent="0.3">
      <c r="A12" s="1">
        <v>10</v>
      </c>
      <c r="B12" s="33" t="s">
        <v>93</v>
      </c>
      <c r="C12" s="34" t="s">
        <v>94</v>
      </c>
      <c r="D12" s="99">
        <v>46.28</v>
      </c>
      <c r="E12" s="35">
        <f>TRUNC((D12*'Salários.VA.VT.QteDias'!$D$48),2)</f>
        <v>4.76</v>
      </c>
      <c r="F12" s="35">
        <f>TRUNC((((D12+E12)/(1-'Salários.VA.VT.QteDias'!$D$56))*'Salários.VA.VT.QteDias'!$D$56),2)</f>
        <v>4.83</v>
      </c>
      <c r="G12" s="35">
        <f t="shared" si="0"/>
        <v>55.87</v>
      </c>
      <c r="H12" s="34">
        <v>1</v>
      </c>
      <c r="I12" s="35">
        <f t="shared" si="1"/>
        <v>55.87</v>
      </c>
    </row>
    <row r="13" spans="1:9" s="5" customFormat="1" ht="19.5" customHeight="1" x14ac:dyDescent="0.3">
      <c r="A13" s="1">
        <v>11</v>
      </c>
      <c r="B13" s="36" t="s">
        <v>95</v>
      </c>
      <c r="C13" s="34" t="s">
        <v>87</v>
      </c>
      <c r="D13" s="99">
        <v>4.83</v>
      </c>
      <c r="E13" s="35">
        <f>TRUNC((D13*'Salários.VA.VT.QteDias'!$D$48),2)</f>
        <v>0.49</v>
      </c>
      <c r="F13" s="35">
        <f>TRUNC((((D13+E13)/(1-'Salários.VA.VT.QteDias'!$D$56))*'Salários.VA.VT.QteDias'!$D$56),2)</f>
        <v>0.5</v>
      </c>
      <c r="G13" s="35">
        <f t="shared" si="0"/>
        <v>5.82</v>
      </c>
      <c r="H13" s="34">
        <v>24</v>
      </c>
      <c r="I13" s="35">
        <f t="shared" si="1"/>
        <v>139.68</v>
      </c>
    </row>
    <row r="14" spans="1:9" s="5" customFormat="1" ht="19.5" customHeight="1" x14ac:dyDescent="0.3">
      <c r="A14" s="1">
        <v>12</v>
      </c>
      <c r="B14" s="33" t="s">
        <v>96</v>
      </c>
      <c r="C14" s="34" t="s">
        <v>97</v>
      </c>
      <c r="D14" s="99">
        <v>6.19</v>
      </c>
      <c r="E14" s="35">
        <f>TRUNC((D14*'Salários.VA.VT.QteDias'!$D$48),2)</f>
        <v>0.63</v>
      </c>
      <c r="F14" s="35">
        <f>TRUNC((((D14+E14)/(1-'Salários.VA.VT.QteDias'!$D$56))*'Salários.VA.VT.QteDias'!$D$56),2)</f>
        <v>0.64</v>
      </c>
      <c r="G14" s="35">
        <f t="shared" si="0"/>
        <v>7.46</v>
      </c>
      <c r="H14" s="34">
        <v>3</v>
      </c>
      <c r="I14" s="35">
        <f t="shared" si="1"/>
        <v>22.38</v>
      </c>
    </row>
    <row r="15" spans="1:9" s="5" customFormat="1" ht="19.5" customHeight="1" x14ac:dyDescent="0.3">
      <c r="A15" s="1">
        <v>13</v>
      </c>
      <c r="B15" s="33" t="s">
        <v>98</v>
      </c>
      <c r="C15" s="34" t="s">
        <v>99</v>
      </c>
      <c r="D15" s="99">
        <v>16.09</v>
      </c>
      <c r="E15" s="35">
        <f>TRUNC((D15*'Salários.VA.VT.QteDias'!$D$48),2)</f>
        <v>1.65</v>
      </c>
      <c r="F15" s="35">
        <f>TRUNC((((D15+E15)/(1-'Salários.VA.VT.QteDias'!$D$56))*'Salários.VA.VT.QteDias'!$D$56),2)</f>
        <v>1.67</v>
      </c>
      <c r="G15" s="35">
        <f t="shared" si="0"/>
        <v>19.41</v>
      </c>
      <c r="H15" s="34">
        <v>6</v>
      </c>
      <c r="I15" s="35">
        <f t="shared" si="1"/>
        <v>116.46</v>
      </c>
    </row>
    <row r="16" spans="1:9" s="5" customFormat="1" ht="19.5" customHeight="1" x14ac:dyDescent="0.3">
      <c r="A16" s="1">
        <v>14</v>
      </c>
      <c r="B16" s="33" t="s">
        <v>100</v>
      </c>
      <c r="C16" s="34" t="s">
        <v>85</v>
      </c>
      <c r="D16" s="99">
        <v>29.05</v>
      </c>
      <c r="E16" s="35">
        <f>TRUNC((D16*'Salários.VA.VT.QteDias'!$D$48),2)</f>
        <v>2.99</v>
      </c>
      <c r="F16" s="35">
        <f>TRUNC((((D16+E16)/(1-'Salários.VA.VT.QteDias'!$D$56))*'Salários.VA.VT.QteDias'!$D$56),2)</f>
        <v>3.03</v>
      </c>
      <c r="G16" s="35">
        <f t="shared" si="0"/>
        <v>35.07</v>
      </c>
      <c r="H16" s="34">
        <v>1</v>
      </c>
      <c r="I16" s="35">
        <f t="shared" si="1"/>
        <v>35.07</v>
      </c>
    </row>
    <row r="17" spans="1:9" s="5" customFormat="1" ht="19.5" customHeight="1" x14ac:dyDescent="0.3">
      <c r="A17" s="1">
        <v>15</v>
      </c>
      <c r="B17" s="33" t="s">
        <v>101</v>
      </c>
      <c r="C17" s="34" t="s">
        <v>102</v>
      </c>
      <c r="D17" s="99">
        <v>5.48</v>
      </c>
      <c r="E17" s="35">
        <f>TRUNC((D17*'Salários.VA.VT.QteDias'!$D$48),2)</f>
        <v>0.56000000000000005</v>
      </c>
      <c r="F17" s="35">
        <f>TRUNC((((D17+E17)/(1-'Salários.VA.VT.QteDias'!$D$56))*'Salários.VA.VT.QteDias'!$D$56),2)</f>
        <v>0.56999999999999995</v>
      </c>
      <c r="G17" s="35">
        <f t="shared" si="0"/>
        <v>6.61</v>
      </c>
      <c r="H17" s="34">
        <v>6</v>
      </c>
      <c r="I17" s="35">
        <f t="shared" si="1"/>
        <v>39.659999999999997</v>
      </c>
    </row>
    <row r="18" spans="1:9" s="5" customFormat="1" ht="19.5" customHeight="1" x14ac:dyDescent="0.3">
      <c r="A18" s="1">
        <v>16</v>
      </c>
      <c r="B18" s="33" t="s">
        <v>103</v>
      </c>
      <c r="C18" s="34" t="s">
        <v>104</v>
      </c>
      <c r="D18" s="99">
        <v>3.47</v>
      </c>
      <c r="E18" s="35">
        <f>TRUNC((D18*'Salários.VA.VT.QteDias'!$D$48),2)</f>
        <v>0.35</v>
      </c>
      <c r="F18" s="35">
        <f>TRUNC((((D18+E18)/(1-'Salários.VA.VT.QteDias'!$D$56))*'Salários.VA.VT.QteDias'!$D$56),2)</f>
        <v>0.36</v>
      </c>
      <c r="G18" s="35">
        <f t="shared" si="0"/>
        <v>4.18</v>
      </c>
      <c r="H18" s="34">
        <v>9</v>
      </c>
      <c r="I18" s="35">
        <f t="shared" si="1"/>
        <v>37.619999999999997</v>
      </c>
    </row>
    <row r="19" spans="1:9" s="5" customFormat="1" ht="19.5" customHeight="1" x14ac:dyDescent="0.3">
      <c r="A19" s="1">
        <v>17</v>
      </c>
      <c r="B19" s="33" t="s">
        <v>105</v>
      </c>
      <c r="C19" s="34" t="s">
        <v>106</v>
      </c>
      <c r="D19" s="99">
        <v>2.94</v>
      </c>
      <c r="E19" s="35">
        <f>TRUNC((D19*'Salários.VA.VT.QteDias'!$D$48),2)</f>
        <v>0.3</v>
      </c>
      <c r="F19" s="35">
        <f>TRUNC((((D19+E19)/(1-'Salários.VA.VT.QteDias'!$D$56))*'Salários.VA.VT.QteDias'!$D$56),2)</f>
        <v>0.3</v>
      </c>
      <c r="G19" s="35">
        <f t="shared" si="0"/>
        <v>3.54</v>
      </c>
      <c r="H19" s="34">
        <v>2</v>
      </c>
      <c r="I19" s="35">
        <f t="shared" si="1"/>
        <v>7.08</v>
      </c>
    </row>
    <row r="20" spans="1:9" s="5" customFormat="1" ht="19.5" customHeight="1" x14ac:dyDescent="0.3">
      <c r="A20" s="1">
        <v>18</v>
      </c>
      <c r="B20" s="33" t="s">
        <v>107</v>
      </c>
      <c r="C20" s="34" t="s">
        <v>87</v>
      </c>
      <c r="D20" s="99">
        <v>10.09</v>
      </c>
      <c r="E20" s="35">
        <f>TRUNC((D20*'Salários.VA.VT.QteDias'!$D$48),2)</f>
        <v>1.03</v>
      </c>
      <c r="F20" s="35">
        <f>TRUNC((((D20+E20)/(1-'Salários.VA.VT.QteDias'!$D$56))*'Salários.VA.VT.QteDias'!$D$56),2)</f>
        <v>1.05</v>
      </c>
      <c r="G20" s="35">
        <f t="shared" si="0"/>
        <v>12.17</v>
      </c>
      <c r="H20" s="34">
        <v>2</v>
      </c>
      <c r="I20" s="35">
        <f t="shared" si="1"/>
        <v>24.34</v>
      </c>
    </row>
    <row r="21" spans="1:9" s="5" customFormat="1" ht="19.5" customHeight="1" x14ac:dyDescent="0.3">
      <c r="A21" s="1">
        <v>19</v>
      </c>
      <c r="B21" s="37"/>
      <c r="C21" s="34"/>
      <c r="D21" s="35"/>
      <c r="E21" s="35"/>
      <c r="F21" s="35"/>
      <c r="G21" s="35"/>
      <c r="H21" s="34"/>
      <c r="I21" s="35"/>
    </row>
    <row r="22" spans="1:9" s="5" customFormat="1" ht="19.5" customHeight="1" x14ac:dyDescent="0.3">
      <c r="A22" s="1">
        <v>20</v>
      </c>
      <c r="B22" s="37"/>
      <c r="C22" s="34"/>
      <c r="D22" s="35">
        <f>SUM(D3:D20)</f>
        <v>337.14</v>
      </c>
      <c r="E22" s="35">
        <f>SUM(E3:E20)</f>
        <v>34.61</v>
      </c>
      <c r="F22" s="35">
        <f>SUM(F3:F20)</f>
        <v>35.119999999999997</v>
      </c>
      <c r="G22" s="35">
        <f>SUM(G3:G20)</f>
        <v>406.87000000000006</v>
      </c>
      <c r="H22" s="34"/>
      <c r="I22" s="13">
        <f>SUM(I3:I20)</f>
        <v>1479.57</v>
      </c>
    </row>
    <row r="23" spans="1:9" x14ac:dyDescent="0.3">
      <c r="A23" s="29"/>
      <c r="B23" s="29"/>
      <c r="C23" s="29"/>
      <c r="D23" s="29"/>
      <c r="E23" s="29"/>
      <c r="F23" s="29"/>
      <c r="G23" s="29"/>
      <c r="H23" s="29"/>
      <c r="I23" s="29"/>
    </row>
    <row r="24" spans="1:9" x14ac:dyDescent="0.3">
      <c r="A24" s="29"/>
      <c r="B24" s="29"/>
      <c r="C24" s="29"/>
      <c r="D24" s="29"/>
      <c r="E24" s="29"/>
      <c r="F24" s="29"/>
      <c r="G24" s="29"/>
      <c r="H24" s="29"/>
      <c r="I24" s="29"/>
    </row>
    <row r="25" spans="1:9" x14ac:dyDescent="0.3">
      <c r="A25" s="29"/>
      <c r="B25" s="29"/>
      <c r="C25" s="29"/>
      <c r="D25" s="29"/>
      <c r="E25" s="29"/>
      <c r="F25" s="29"/>
      <c r="G25" s="29"/>
      <c r="H25" s="29"/>
      <c r="I25" s="29"/>
    </row>
    <row r="26" spans="1:9" x14ac:dyDescent="0.3">
      <c r="A26" s="29"/>
      <c r="B26" s="29"/>
      <c r="C26" s="29"/>
      <c r="D26" s="29"/>
      <c r="E26" s="29"/>
      <c r="F26" s="29"/>
      <c r="G26" s="29"/>
      <c r="H26" s="29"/>
      <c r="I26" s="29"/>
    </row>
    <row r="27" spans="1:9" x14ac:dyDescent="0.3">
      <c r="A27" s="29"/>
      <c r="B27" s="29"/>
      <c r="C27" s="29"/>
      <c r="D27" s="29"/>
      <c r="E27" s="29"/>
      <c r="F27" s="29"/>
      <c r="G27" s="29"/>
      <c r="H27" s="29"/>
      <c r="I27" s="29"/>
    </row>
    <row r="28" spans="1:9" x14ac:dyDescent="0.3">
      <c r="A28" s="29"/>
      <c r="B28" s="29"/>
      <c r="C28" s="29"/>
      <c r="D28" s="29"/>
      <c r="E28" s="29"/>
      <c r="F28" s="29"/>
      <c r="G28" s="29"/>
      <c r="H28" s="29"/>
      <c r="I28" s="29"/>
    </row>
    <row r="29" spans="1:9" x14ac:dyDescent="0.3">
      <c r="A29" s="29"/>
      <c r="B29" s="29"/>
      <c r="C29" s="29"/>
      <c r="D29" s="29"/>
      <c r="E29" s="29"/>
      <c r="F29" s="29"/>
      <c r="G29" s="29"/>
      <c r="H29" s="29"/>
      <c r="I29" s="29"/>
    </row>
  </sheetData>
  <sheetProtection sheet="1" objects="1" scenarios="1"/>
  <protectedRanges>
    <protectedRange sqref="D3:D20" name="Intervalo1"/>
  </protectedRanges>
  <mergeCells count="1">
    <mergeCell ref="A1:I1"/>
  </mergeCells>
  <pageMargins left="0.51180555555555596" right="0.51180555555555596" top="0.78749999999999998" bottom="0.78749999999999998"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zoomScaleNormal="100" workbookViewId="0">
      <selection activeCell="D7" sqref="D7"/>
    </sheetView>
  </sheetViews>
  <sheetFormatPr defaultColWidth="8.6640625" defaultRowHeight="14.4" x14ac:dyDescent="0.3"/>
  <cols>
    <col min="2" max="2" width="45.88671875" customWidth="1"/>
    <col min="3" max="3" width="29.88671875" customWidth="1"/>
    <col min="4" max="4" width="18.109375" customWidth="1"/>
    <col min="5" max="5" width="18.44140625" customWidth="1"/>
    <col min="6" max="6" width="18.5546875" customWidth="1"/>
  </cols>
  <sheetData>
    <row r="1" spans="1:6" ht="19.5" customHeight="1" x14ac:dyDescent="0.3">
      <c r="A1" s="133" t="s">
        <v>108</v>
      </c>
      <c r="B1" s="133"/>
      <c r="C1" s="133"/>
      <c r="D1" s="133"/>
      <c r="E1" s="133"/>
      <c r="F1" s="133"/>
    </row>
    <row r="2" spans="1:6" ht="19.5" customHeight="1" x14ac:dyDescent="0.3">
      <c r="A2" s="4" t="s">
        <v>1</v>
      </c>
      <c r="B2" s="4" t="s">
        <v>109</v>
      </c>
      <c r="C2" s="4" t="s">
        <v>70</v>
      </c>
      <c r="D2" s="4" t="s">
        <v>110</v>
      </c>
      <c r="E2" s="4" t="s">
        <v>75</v>
      </c>
      <c r="F2" s="4" t="s">
        <v>111</v>
      </c>
    </row>
    <row r="3" spans="1:6" ht="19.5" customHeight="1" x14ac:dyDescent="0.3">
      <c r="A3" s="34">
        <f>ROW()-2</f>
        <v>1</v>
      </c>
      <c r="B3" s="23" t="s">
        <v>112</v>
      </c>
      <c r="C3" s="34" t="s">
        <v>113</v>
      </c>
      <c r="D3" s="100">
        <v>16.149999999999999</v>
      </c>
      <c r="E3" s="34">
        <v>2</v>
      </c>
      <c r="F3" s="35">
        <f t="shared" ref="F3:F9" si="0">D3*E3</f>
        <v>32.299999999999997</v>
      </c>
    </row>
    <row r="4" spans="1:6" ht="19.5" customHeight="1" x14ac:dyDescent="0.3">
      <c r="A4" s="34">
        <v>2</v>
      </c>
      <c r="B4" s="23" t="s">
        <v>114</v>
      </c>
      <c r="C4" s="34" t="s">
        <v>87</v>
      </c>
      <c r="D4" s="100">
        <v>38.270000000000003</v>
      </c>
      <c r="E4" s="34">
        <v>2</v>
      </c>
      <c r="F4" s="35">
        <f t="shared" si="0"/>
        <v>76.540000000000006</v>
      </c>
    </row>
    <row r="5" spans="1:6" ht="19.5" customHeight="1" x14ac:dyDescent="0.3">
      <c r="A5" s="34">
        <v>3</v>
      </c>
      <c r="B5" s="23" t="s">
        <v>115</v>
      </c>
      <c r="C5" s="34" t="s">
        <v>87</v>
      </c>
      <c r="D5" s="100">
        <v>231.68</v>
      </c>
      <c r="E5" s="34">
        <v>2</v>
      </c>
      <c r="F5" s="35">
        <f t="shared" si="0"/>
        <v>463.36</v>
      </c>
    </row>
    <row r="6" spans="1:6" ht="19.5" customHeight="1" x14ac:dyDescent="0.3">
      <c r="A6" s="34">
        <v>4</v>
      </c>
      <c r="B6" s="23" t="s">
        <v>116</v>
      </c>
      <c r="C6" s="34" t="s">
        <v>87</v>
      </c>
      <c r="D6" s="100">
        <v>36.94</v>
      </c>
      <c r="E6" s="34">
        <v>2</v>
      </c>
      <c r="F6" s="35">
        <f t="shared" si="0"/>
        <v>73.88</v>
      </c>
    </row>
    <row r="7" spans="1:6" ht="19.5" customHeight="1" x14ac:dyDescent="0.3">
      <c r="A7" s="34">
        <v>5</v>
      </c>
      <c r="B7" s="23" t="s">
        <v>117</v>
      </c>
      <c r="C7" s="34" t="s">
        <v>87</v>
      </c>
      <c r="D7" s="100">
        <v>12.7</v>
      </c>
      <c r="E7" s="34">
        <v>2</v>
      </c>
      <c r="F7" s="35">
        <f t="shared" si="0"/>
        <v>25.4</v>
      </c>
    </row>
    <row r="8" spans="1:6" ht="19.5" customHeight="1" x14ac:dyDescent="0.3">
      <c r="A8" s="34">
        <v>6</v>
      </c>
      <c r="B8" s="23" t="s">
        <v>118</v>
      </c>
      <c r="C8" s="34" t="s">
        <v>87</v>
      </c>
      <c r="D8" s="100">
        <v>17.04</v>
      </c>
      <c r="E8" s="34">
        <v>2</v>
      </c>
      <c r="F8" s="35">
        <f t="shared" si="0"/>
        <v>34.08</v>
      </c>
    </row>
    <row r="9" spans="1:6" ht="19.5" customHeight="1" x14ac:dyDescent="0.3">
      <c r="A9" s="34">
        <v>7</v>
      </c>
      <c r="B9" s="23" t="s">
        <v>119</v>
      </c>
      <c r="C9" s="34" t="s">
        <v>113</v>
      </c>
      <c r="D9" s="100">
        <v>80.180000000000007</v>
      </c>
      <c r="E9" s="34">
        <v>2</v>
      </c>
      <c r="F9" s="35">
        <f t="shared" si="0"/>
        <v>160.36000000000001</v>
      </c>
    </row>
    <row r="10" spans="1:6" ht="19.5" customHeight="1" x14ac:dyDescent="0.3">
      <c r="A10" s="34">
        <v>8</v>
      </c>
      <c r="B10" s="23"/>
      <c r="C10" s="34"/>
      <c r="D10" s="38"/>
      <c r="E10" s="34"/>
      <c r="F10" s="35"/>
    </row>
    <row r="11" spans="1:6" ht="19.5" customHeight="1" x14ac:dyDescent="0.3">
      <c r="A11" s="34">
        <v>9</v>
      </c>
      <c r="B11" s="34"/>
      <c r="C11" s="34"/>
      <c r="D11" s="34"/>
      <c r="E11" s="34"/>
      <c r="F11" s="34"/>
    </row>
    <row r="12" spans="1:6" ht="19.5" customHeight="1" x14ac:dyDescent="0.3">
      <c r="A12" s="4" t="s">
        <v>48</v>
      </c>
      <c r="B12" s="34"/>
      <c r="C12" s="34"/>
      <c r="D12" s="38">
        <f>SUM(D3:D10)</f>
        <v>432.96000000000004</v>
      </c>
      <c r="E12" s="34"/>
      <c r="F12" s="38">
        <f>SUM(F3:F10)</f>
        <v>865.92000000000007</v>
      </c>
    </row>
    <row r="13" spans="1:6" ht="19.5" customHeight="1" x14ac:dyDescent="0.3">
      <c r="A13" s="39"/>
      <c r="B13" s="39"/>
      <c r="C13" s="39"/>
      <c r="D13" s="39"/>
      <c r="E13" s="39"/>
      <c r="F13" s="39"/>
    </row>
    <row r="14" spans="1:6" ht="19.5" customHeight="1" x14ac:dyDescent="0.3">
      <c r="A14" s="39"/>
      <c r="B14" s="39"/>
      <c r="C14" s="39"/>
      <c r="D14" s="134" t="s">
        <v>120</v>
      </c>
      <c r="E14" s="134"/>
      <c r="F14" s="101">
        <f>TRUNC((F12/12),2)</f>
        <v>72.16</v>
      </c>
    </row>
    <row r="15" spans="1:6" ht="19.5" customHeight="1" x14ac:dyDescent="0.3">
      <c r="A15" s="39"/>
      <c r="B15" s="122" t="s">
        <v>121</v>
      </c>
      <c r="C15" s="122"/>
      <c r="D15" s="122"/>
      <c r="E15" s="122"/>
      <c r="F15" s="13">
        <f>TRUNC((F14/2),2)</f>
        <v>36.08</v>
      </c>
    </row>
    <row r="16" spans="1:6" x14ac:dyDescent="0.3">
      <c r="A16" s="11"/>
      <c r="B16" s="11"/>
      <c r="C16" s="11"/>
      <c r="D16" s="11"/>
      <c r="E16" s="11"/>
      <c r="F16" s="11"/>
    </row>
    <row r="17" spans="1:6" x14ac:dyDescent="0.3">
      <c r="A17" s="11"/>
      <c r="B17" s="11"/>
      <c r="C17" s="11"/>
      <c r="D17" s="11"/>
      <c r="E17" s="11"/>
      <c r="F17" s="11"/>
    </row>
    <row r="18" spans="1:6" x14ac:dyDescent="0.3">
      <c r="A18" s="11"/>
      <c r="B18" s="11"/>
      <c r="C18" s="11"/>
      <c r="D18" s="11"/>
      <c r="E18" s="11"/>
      <c r="F18" s="11"/>
    </row>
    <row r="19" spans="1:6" x14ac:dyDescent="0.3">
      <c r="A19" s="11"/>
      <c r="B19" s="11"/>
      <c r="C19" s="11"/>
      <c r="D19" s="11"/>
      <c r="E19" s="11"/>
      <c r="F19" s="11"/>
    </row>
    <row r="20" spans="1:6" x14ac:dyDescent="0.3">
      <c r="A20" s="11"/>
      <c r="B20" s="11"/>
      <c r="C20" s="11"/>
      <c r="D20" s="11"/>
      <c r="E20" s="11"/>
      <c r="F20" s="11"/>
    </row>
    <row r="21" spans="1:6" x14ac:dyDescent="0.3">
      <c r="A21" s="11"/>
      <c r="B21" s="11"/>
      <c r="C21" s="11"/>
      <c r="D21" s="11"/>
      <c r="E21" s="11"/>
      <c r="F21" s="11"/>
    </row>
  </sheetData>
  <sheetProtection sheet="1" objects="1" scenarios="1"/>
  <protectedRanges>
    <protectedRange sqref="D3:D9" name="Intervalo1"/>
  </protectedRanges>
  <mergeCells count="3">
    <mergeCell ref="A1:F1"/>
    <mergeCell ref="D14:E14"/>
    <mergeCell ref="B15:E15"/>
  </mergeCells>
  <pageMargins left="0.51180555555555596" right="0.51180555555555596" top="0.78749999999999998" bottom="0.78749999999999998"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50"/>
  <sheetViews>
    <sheetView zoomScale="140" zoomScaleNormal="14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158"/>
      <c r="B1" s="158"/>
      <c r="C1" s="158"/>
      <c r="D1" s="158"/>
      <c r="E1" s="158"/>
      <c r="F1" s="158"/>
    </row>
    <row r="2" spans="1:6" x14ac:dyDescent="0.3">
      <c r="A2" s="158"/>
      <c r="B2" s="158"/>
      <c r="C2" s="158"/>
      <c r="D2" s="158"/>
      <c r="E2" s="158"/>
      <c r="F2" s="158"/>
    </row>
    <row r="3" spans="1:6" x14ac:dyDescent="0.3">
      <c r="A3" s="158"/>
      <c r="B3" s="158"/>
      <c r="C3" s="158"/>
      <c r="D3" s="158"/>
      <c r="E3" s="158"/>
      <c r="F3" s="158"/>
    </row>
    <row r="4" spans="1:6" x14ac:dyDescent="0.3">
      <c r="A4" s="158"/>
      <c r="B4" s="158"/>
      <c r="C4" s="158"/>
      <c r="D4" s="158"/>
      <c r="E4" s="158"/>
      <c r="F4" s="158"/>
    </row>
    <row r="5" spans="1:6" x14ac:dyDescent="0.3">
      <c r="A5" s="158"/>
      <c r="B5" s="158"/>
      <c r="C5" s="158"/>
      <c r="D5" s="158"/>
      <c r="E5" s="158"/>
      <c r="F5" s="158"/>
    </row>
    <row r="6" spans="1:6" x14ac:dyDescent="0.3">
      <c r="A6" s="158"/>
      <c r="B6" s="158"/>
      <c r="C6" s="158"/>
      <c r="D6" s="158"/>
      <c r="E6" s="158"/>
      <c r="F6" s="158"/>
    </row>
    <row r="7" spans="1:6" x14ac:dyDescent="0.3">
      <c r="A7" s="139"/>
      <c r="B7" s="139"/>
      <c r="C7" s="139"/>
      <c r="D7" s="139"/>
      <c r="E7" s="139"/>
      <c r="F7" s="139"/>
    </row>
    <row r="8" spans="1:6" x14ac:dyDescent="0.3">
      <c r="A8" s="141" t="s">
        <v>122</v>
      </c>
      <c r="B8" s="141"/>
      <c r="C8" s="141"/>
      <c r="D8" s="141"/>
      <c r="E8" s="141"/>
      <c r="F8" s="141"/>
    </row>
    <row r="9" spans="1:6" x14ac:dyDescent="0.3">
      <c r="A9" s="144" t="s">
        <v>123</v>
      </c>
      <c r="B9" s="144"/>
      <c r="C9" s="159" t="s">
        <v>124</v>
      </c>
      <c r="D9" s="159"/>
      <c r="E9" s="159"/>
      <c r="F9" s="159"/>
    </row>
    <row r="10" spans="1:6" x14ac:dyDescent="0.3">
      <c r="A10" s="145" t="s">
        <v>125</v>
      </c>
      <c r="B10" s="145"/>
      <c r="C10" s="160" t="s">
        <v>126</v>
      </c>
      <c r="D10" s="160"/>
      <c r="E10" s="160"/>
      <c r="F10" s="160"/>
    </row>
    <row r="11" spans="1:6" x14ac:dyDescent="0.3">
      <c r="A11" s="139"/>
      <c r="B11" s="139"/>
      <c r="C11" s="139"/>
      <c r="D11" s="139"/>
      <c r="E11" s="139"/>
      <c r="F11" s="139"/>
    </row>
    <row r="12" spans="1:6" x14ac:dyDescent="0.3">
      <c r="A12" s="141" t="s">
        <v>127</v>
      </c>
      <c r="B12" s="141"/>
      <c r="C12" s="141"/>
      <c r="D12" s="141"/>
      <c r="E12" s="141"/>
      <c r="F12" s="141"/>
    </row>
    <row r="13" spans="1:6" x14ac:dyDescent="0.3">
      <c r="A13" s="144" t="s">
        <v>128</v>
      </c>
      <c r="B13" s="144"/>
      <c r="C13" s="156" t="s">
        <v>129</v>
      </c>
      <c r="D13" s="156"/>
      <c r="E13" s="156"/>
      <c r="F13" s="156"/>
    </row>
    <row r="14" spans="1:6" x14ac:dyDescent="0.3">
      <c r="A14" s="145" t="s">
        <v>130</v>
      </c>
      <c r="B14" s="145"/>
      <c r="C14" s="145" t="s">
        <v>131</v>
      </c>
      <c r="D14" s="145"/>
      <c r="E14" s="145"/>
      <c r="F14" s="145"/>
    </row>
    <row r="15" spans="1:6" ht="16.5" customHeight="1" x14ac:dyDescent="0.3">
      <c r="A15" s="114" t="s">
        <v>132</v>
      </c>
      <c r="B15" s="114"/>
      <c r="C15" s="157" t="s">
        <v>133</v>
      </c>
      <c r="D15" s="157"/>
      <c r="E15" s="157"/>
      <c r="F15" s="157"/>
    </row>
    <row r="16" spans="1:6" x14ac:dyDescent="0.3">
      <c r="A16" s="114"/>
      <c r="B16" s="114"/>
      <c r="C16" s="157" t="s">
        <v>134</v>
      </c>
      <c r="D16" s="157"/>
      <c r="E16" s="157"/>
      <c r="F16" s="157"/>
    </row>
    <row r="17" spans="1:6" x14ac:dyDescent="0.3">
      <c r="A17" s="114"/>
      <c r="B17" s="114"/>
      <c r="C17" s="157" t="s">
        <v>135</v>
      </c>
      <c r="D17" s="157"/>
      <c r="E17" s="157"/>
      <c r="F17" s="157"/>
    </row>
    <row r="18" spans="1:6" ht="15.75" customHeight="1" x14ac:dyDescent="0.3">
      <c r="A18" s="115" t="s">
        <v>136</v>
      </c>
      <c r="B18" s="115"/>
      <c r="C18" s="145">
        <v>12</v>
      </c>
      <c r="D18" s="145"/>
      <c r="E18" s="145"/>
      <c r="F18" s="145"/>
    </row>
    <row r="19" spans="1:6" x14ac:dyDescent="0.3">
      <c r="A19" s="139"/>
      <c r="B19" s="139"/>
      <c r="C19" s="139"/>
      <c r="D19" s="139"/>
      <c r="E19" s="139"/>
      <c r="F19" s="139"/>
    </row>
    <row r="20" spans="1:6" x14ac:dyDescent="0.3">
      <c r="A20" s="141" t="s">
        <v>137</v>
      </c>
      <c r="B20" s="141"/>
      <c r="C20" s="141"/>
      <c r="D20" s="141"/>
      <c r="E20" s="141"/>
      <c r="F20" s="141"/>
    </row>
    <row r="21" spans="1:6" x14ac:dyDescent="0.3">
      <c r="A21" s="144" t="s">
        <v>138</v>
      </c>
      <c r="B21" s="144"/>
      <c r="C21" s="144" t="s">
        <v>139</v>
      </c>
      <c r="D21" s="144"/>
      <c r="E21" s="144"/>
      <c r="F21" s="144"/>
    </row>
    <row r="22" spans="1:6" ht="27" customHeight="1" x14ac:dyDescent="0.3">
      <c r="A22" s="115" t="s">
        <v>140</v>
      </c>
      <c r="B22" s="115"/>
      <c r="C22" s="145">
        <v>1</v>
      </c>
      <c r="D22" s="145"/>
      <c r="E22" s="145"/>
      <c r="F22" s="145"/>
    </row>
    <row r="23" spans="1:6" x14ac:dyDescent="0.3">
      <c r="A23" s="139"/>
      <c r="B23" s="139"/>
      <c r="C23" s="139"/>
      <c r="D23" s="139"/>
      <c r="E23" s="139"/>
      <c r="F23" s="139"/>
    </row>
    <row r="24" spans="1:6" x14ac:dyDescent="0.3">
      <c r="A24" s="141" t="s">
        <v>141</v>
      </c>
      <c r="B24" s="141"/>
      <c r="C24" s="141"/>
      <c r="D24" s="141"/>
      <c r="E24" s="141"/>
      <c r="F24" s="141"/>
    </row>
    <row r="25" spans="1:6" x14ac:dyDescent="0.3">
      <c r="A25" s="145" t="s">
        <v>142</v>
      </c>
      <c r="B25" s="145"/>
      <c r="C25" s="145"/>
      <c r="D25" s="145"/>
      <c r="E25" s="145"/>
      <c r="F25" s="145"/>
    </row>
    <row r="26" spans="1:6" ht="21" customHeight="1" x14ac:dyDescent="0.3">
      <c r="A26" s="114" t="s">
        <v>143</v>
      </c>
      <c r="B26" s="114"/>
      <c r="C26" s="144" t="s">
        <v>144</v>
      </c>
      <c r="D26" s="144"/>
      <c r="E26" s="144"/>
      <c r="F26" s="144"/>
    </row>
    <row r="27" spans="1:6" x14ac:dyDescent="0.3">
      <c r="A27" s="145" t="s">
        <v>145</v>
      </c>
      <c r="B27" s="145"/>
      <c r="C27" s="154" t="s">
        <v>146</v>
      </c>
      <c r="D27" s="154"/>
      <c r="E27" s="154"/>
      <c r="F27" s="154"/>
    </row>
    <row r="28" spans="1:6" x14ac:dyDescent="0.3">
      <c r="A28" s="144" t="s">
        <v>147</v>
      </c>
      <c r="B28" s="144"/>
      <c r="C28" s="155">
        <f>'Salários.VA.VT.QteDias'!C3</f>
        <v>1063.56</v>
      </c>
      <c r="D28" s="155"/>
      <c r="E28" s="155"/>
      <c r="F28" s="155"/>
    </row>
    <row r="29" spans="1:6" ht="24.75" customHeight="1" x14ac:dyDescent="0.3">
      <c r="A29" s="115" t="s">
        <v>148</v>
      </c>
      <c r="B29" s="115"/>
      <c r="C29" s="145" t="s">
        <v>149</v>
      </c>
      <c r="D29" s="145"/>
      <c r="E29" s="145"/>
      <c r="F29" s="145"/>
    </row>
    <row r="30" spans="1:6" x14ac:dyDescent="0.3">
      <c r="A30" s="144" t="s">
        <v>150</v>
      </c>
      <c r="B30" s="144"/>
      <c r="C30" s="156" t="s">
        <v>151</v>
      </c>
      <c r="D30" s="156"/>
      <c r="E30" s="156"/>
      <c r="F30" s="156"/>
    </row>
    <row r="31" spans="1:6" x14ac:dyDescent="0.3">
      <c r="A31" s="153" t="s">
        <v>152</v>
      </c>
      <c r="B31" s="153"/>
      <c r="C31" s="153"/>
      <c r="D31" s="153"/>
      <c r="E31" s="153"/>
      <c r="F31" s="153"/>
    </row>
    <row r="32" spans="1:6" x14ac:dyDescent="0.3">
      <c r="A32" s="141" t="s">
        <v>153</v>
      </c>
      <c r="B32" s="141"/>
      <c r="C32" s="141"/>
      <c r="D32" s="141"/>
      <c r="E32" s="141"/>
      <c r="F32" s="141"/>
    </row>
    <row r="33" spans="1:6" x14ac:dyDescent="0.3">
      <c r="A33" s="40" t="s">
        <v>1</v>
      </c>
      <c r="B33" s="138" t="s">
        <v>154</v>
      </c>
      <c r="C33" s="138"/>
      <c r="D33" s="138"/>
      <c r="E33" s="138"/>
      <c r="F33" s="45" t="s">
        <v>155</v>
      </c>
    </row>
    <row r="34" spans="1:6" x14ac:dyDescent="0.3">
      <c r="A34" s="46" t="s">
        <v>156</v>
      </c>
      <c r="B34" s="136" t="s">
        <v>157</v>
      </c>
      <c r="C34" s="136"/>
      <c r="D34" s="136"/>
      <c r="E34" s="136"/>
      <c r="F34" s="47">
        <f>$C$28</f>
        <v>1063.56</v>
      </c>
    </row>
    <row r="35" spans="1:6" x14ac:dyDescent="0.3">
      <c r="A35" s="40" t="s">
        <v>158</v>
      </c>
      <c r="B35" s="135" t="s">
        <v>159</v>
      </c>
      <c r="C35" s="135"/>
      <c r="D35" s="135"/>
      <c r="E35" s="135"/>
      <c r="F35" s="102">
        <f>TRUNC(($F$34*0.25),2)</f>
        <v>265.89</v>
      </c>
    </row>
    <row r="36" spans="1:6" x14ac:dyDescent="0.3">
      <c r="A36" s="46" t="s">
        <v>160</v>
      </c>
      <c r="B36" s="140" t="s">
        <v>161</v>
      </c>
      <c r="C36" s="140"/>
      <c r="D36" s="140"/>
      <c r="E36" s="140"/>
      <c r="F36" s="103">
        <f>TRUNC(((F34+F40)*0.3),2)</f>
        <v>384.51</v>
      </c>
    </row>
    <row r="37" spans="1:6" x14ac:dyDescent="0.3">
      <c r="A37" s="40" t="s">
        <v>162</v>
      </c>
      <c r="B37" s="135" t="s">
        <v>163</v>
      </c>
      <c r="C37" s="135"/>
      <c r="D37" s="135"/>
      <c r="E37" s="135"/>
      <c r="F37" s="102">
        <f>TRUNC((1844.29),2)</f>
        <v>1844.29</v>
      </c>
    </row>
    <row r="38" spans="1:6" x14ac:dyDescent="0.3">
      <c r="A38" s="46" t="s">
        <v>164</v>
      </c>
      <c r="B38" s="136" t="s">
        <v>165</v>
      </c>
      <c r="C38" s="136"/>
      <c r="D38" s="136"/>
      <c r="E38" s="136"/>
      <c r="F38" s="103">
        <f>TRUNC((491.81),2)</f>
        <v>491.81</v>
      </c>
    </row>
    <row r="39" spans="1:6" x14ac:dyDescent="0.3">
      <c r="A39" s="40" t="s">
        <v>166</v>
      </c>
      <c r="B39" s="135" t="s">
        <v>167</v>
      </c>
      <c r="C39" s="135"/>
      <c r="D39" s="135"/>
      <c r="E39" s="135"/>
      <c r="F39" s="102">
        <f>TRUNC((711.36),2)</f>
        <v>711.36</v>
      </c>
    </row>
    <row r="40" spans="1:6" x14ac:dyDescent="0.3">
      <c r="A40" s="46" t="s">
        <v>168</v>
      </c>
      <c r="B40" s="136" t="s">
        <v>169</v>
      </c>
      <c r="C40" s="136"/>
      <c r="D40" s="136"/>
      <c r="E40" s="136"/>
      <c r="F40" s="103">
        <v>218.14</v>
      </c>
    </row>
    <row r="41" spans="1:6" x14ac:dyDescent="0.3">
      <c r="A41" s="141" t="s">
        <v>170</v>
      </c>
      <c r="B41" s="141"/>
      <c r="C41" s="141"/>
      <c r="D41" s="141"/>
      <c r="E41" s="141"/>
      <c r="F41" s="48">
        <f>TRUNC(SUM(F34:F39),2)</f>
        <v>4761.42</v>
      </c>
    </row>
    <row r="42" spans="1:6" x14ac:dyDescent="0.3">
      <c r="A42" s="139"/>
      <c r="B42" s="139"/>
      <c r="C42" s="139"/>
      <c r="D42" s="139"/>
      <c r="E42" s="139"/>
      <c r="F42" s="139"/>
    </row>
    <row r="43" spans="1:6" x14ac:dyDescent="0.3">
      <c r="A43" s="141" t="s">
        <v>171</v>
      </c>
      <c r="B43" s="141"/>
      <c r="C43" s="141"/>
      <c r="D43" s="141"/>
      <c r="E43" s="141"/>
      <c r="F43" s="141"/>
    </row>
    <row r="44" spans="1:6" x14ac:dyDescent="0.3">
      <c r="A44" s="143" t="s">
        <v>172</v>
      </c>
      <c r="B44" s="143"/>
      <c r="C44" s="143"/>
      <c r="D44" s="143"/>
      <c r="E44" s="143"/>
      <c r="F44" s="143"/>
    </row>
    <row r="45" spans="1:6" x14ac:dyDescent="0.3">
      <c r="A45" s="40" t="s">
        <v>173</v>
      </c>
      <c r="B45" s="138" t="s">
        <v>174</v>
      </c>
      <c r="C45" s="138"/>
      <c r="D45" s="138"/>
      <c r="E45" s="45" t="s">
        <v>175</v>
      </c>
      <c r="F45" s="45" t="s">
        <v>155</v>
      </c>
    </row>
    <row r="46" spans="1:6" x14ac:dyDescent="0.3">
      <c r="A46" s="49" t="s">
        <v>156</v>
      </c>
      <c r="B46" s="146" t="s">
        <v>176</v>
      </c>
      <c r="C46" s="146"/>
      <c r="D46" s="146"/>
      <c r="E46" s="50">
        <f>TRUNC((100/12),2)</f>
        <v>8.33</v>
      </c>
      <c r="F46" s="51">
        <f>TRUNC((F41*E46%),2)</f>
        <v>396.62</v>
      </c>
    </row>
    <row r="47" spans="1:6" x14ac:dyDescent="0.3">
      <c r="A47" s="52" t="s">
        <v>158</v>
      </c>
      <c r="B47" s="147" t="s">
        <v>177</v>
      </c>
      <c r="C47" s="147"/>
      <c r="D47" s="147"/>
      <c r="E47" s="53">
        <f>E46/3</f>
        <v>2.7766666666666668</v>
      </c>
      <c r="F47" s="54">
        <f>TRUNC((F41*E47%),2)</f>
        <v>132.19999999999999</v>
      </c>
    </row>
    <row r="48" spans="1:6" x14ac:dyDescent="0.3">
      <c r="A48" s="141" t="s">
        <v>178</v>
      </c>
      <c r="B48" s="141"/>
      <c r="C48" s="141"/>
      <c r="D48" s="141"/>
      <c r="E48" s="55">
        <f>SUM(E46:E47)</f>
        <v>11.106666666666667</v>
      </c>
      <c r="F48" s="48">
        <f>TRUNC((SUM(F46:F47)),2)</f>
        <v>528.82000000000005</v>
      </c>
    </row>
    <row r="49" spans="1:6" x14ac:dyDescent="0.3">
      <c r="A49" s="143" t="s">
        <v>179</v>
      </c>
      <c r="B49" s="143"/>
      <c r="C49" s="143"/>
      <c r="D49" s="143"/>
      <c r="E49" s="143"/>
      <c r="F49" s="143"/>
    </row>
    <row r="50" spans="1:6" x14ac:dyDescent="0.3">
      <c r="A50" s="40" t="s">
        <v>180</v>
      </c>
      <c r="B50" s="135" t="s">
        <v>181</v>
      </c>
      <c r="C50" s="135"/>
      <c r="D50" s="135"/>
      <c r="E50" s="45" t="s">
        <v>175</v>
      </c>
      <c r="F50" s="45" t="s">
        <v>155</v>
      </c>
    </row>
    <row r="51" spans="1:6" x14ac:dyDescent="0.3">
      <c r="A51" s="49" t="s">
        <v>156</v>
      </c>
      <c r="B51" s="146" t="s">
        <v>182</v>
      </c>
      <c r="C51" s="146"/>
      <c r="D51" s="146"/>
      <c r="E51" s="56">
        <v>0.2</v>
      </c>
      <c r="F51" s="51">
        <f t="shared" ref="F51:F58" si="0">TRUNC((($F$41+$F$48)*E51),2)</f>
        <v>1058.04</v>
      </c>
    </row>
    <row r="52" spans="1:6" x14ac:dyDescent="0.3">
      <c r="A52" s="52" t="s">
        <v>158</v>
      </c>
      <c r="B52" s="147" t="s">
        <v>183</v>
      </c>
      <c r="C52" s="147"/>
      <c r="D52" s="147"/>
      <c r="E52" s="57">
        <v>2.5000000000000001E-2</v>
      </c>
      <c r="F52" s="54">
        <f t="shared" si="0"/>
        <v>132.25</v>
      </c>
    </row>
    <row r="53" spans="1:6" x14ac:dyDescent="0.3">
      <c r="A53" s="58" t="s">
        <v>160</v>
      </c>
      <c r="B53" s="146" t="s">
        <v>184</v>
      </c>
      <c r="C53" s="146"/>
      <c r="D53" s="146"/>
      <c r="E53" s="104">
        <v>0.03</v>
      </c>
      <c r="F53" s="51">
        <f t="shared" si="0"/>
        <v>158.69999999999999</v>
      </c>
    </row>
    <row r="54" spans="1:6" x14ac:dyDescent="0.3">
      <c r="A54" s="52" t="s">
        <v>162</v>
      </c>
      <c r="B54" s="147" t="s">
        <v>185</v>
      </c>
      <c r="C54" s="147"/>
      <c r="D54" s="147"/>
      <c r="E54" s="57">
        <v>1.4999999999999999E-2</v>
      </c>
      <c r="F54" s="54">
        <f t="shared" si="0"/>
        <v>79.349999999999994</v>
      </c>
    </row>
    <row r="55" spans="1:6" x14ac:dyDescent="0.3">
      <c r="A55" s="49" t="s">
        <v>164</v>
      </c>
      <c r="B55" s="146" t="s">
        <v>186</v>
      </c>
      <c r="C55" s="146"/>
      <c r="D55" s="146"/>
      <c r="E55" s="56">
        <v>0.01</v>
      </c>
      <c r="F55" s="51">
        <f t="shared" si="0"/>
        <v>52.9</v>
      </c>
    </row>
    <row r="56" spans="1:6" x14ac:dyDescent="0.3">
      <c r="A56" s="52" t="s">
        <v>166</v>
      </c>
      <c r="B56" s="147" t="s">
        <v>187</v>
      </c>
      <c r="C56" s="147"/>
      <c r="D56" s="147"/>
      <c r="E56" s="57">
        <v>6.0000000000000001E-3</v>
      </c>
      <c r="F56" s="54">
        <f t="shared" si="0"/>
        <v>31.74</v>
      </c>
    </row>
    <row r="57" spans="1:6" x14ac:dyDescent="0.3">
      <c r="A57" s="49" t="s">
        <v>168</v>
      </c>
      <c r="B57" s="146" t="s">
        <v>188</v>
      </c>
      <c r="C57" s="146"/>
      <c r="D57" s="146"/>
      <c r="E57" s="56">
        <v>2E-3</v>
      </c>
      <c r="F57" s="51">
        <f t="shared" si="0"/>
        <v>10.58</v>
      </c>
    </row>
    <row r="58" spans="1:6" x14ac:dyDescent="0.3">
      <c r="A58" s="52" t="s">
        <v>189</v>
      </c>
      <c r="B58" s="147" t="s">
        <v>190</v>
      </c>
      <c r="C58" s="147"/>
      <c r="D58" s="147"/>
      <c r="E58" s="57">
        <v>0.08</v>
      </c>
      <c r="F58" s="54">
        <f t="shared" si="0"/>
        <v>423.21</v>
      </c>
    </row>
    <row r="59" spans="1:6" x14ac:dyDescent="0.3">
      <c r="A59" s="141" t="s">
        <v>191</v>
      </c>
      <c r="B59" s="141"/>
      <c r="C59" s="141"/>
      <c r="D59" s="141"/>
      <c r="E59" s="59">
        <f>SUM(E51:E58)</f>
        <v>0.36800000000000005</v>
      </c>
      <c r="F59" s="48">
        <f>TRUNC((SUM(F51:F58)),2)</f>
        <v>1946.77</v>
      </c>
    </row>
    <row r="60" spans="1:6" x14ac:dyDescent="0.3">
      <c r="A60" s="143" t="s">
        <v>192</v>
      </c>
      <c r="B60" s="143"/>
      <c r="C60" s="143"/>
      <c r="D60" s="143"/>
      <c r="E60" s="143"/>
      <c r="F60" s="143"/>
    </row>
    <row r="61" spans="1:6" x14ac:dyDescent="0.3">
      <c r="A61" s="6" t="s">
        <v>193</v>
      </c>
      <c r="B61" s="143" t="s">
        <v>194</v>
      </c>
      <c r="C61" s="143"/>
      <c r="D61" s="143"/>
      <c r="E61" s="143"/>
      <c r="F61" s="143"/>
    </row>
    <row r="62" spans="1:6" x14ac:dyDescent="0.3">
      <c r="A62" s="144" t="s">
        <v>156</v>
      </c>
      <c r="B62" s="40" t="s">
        <v>195</v>
      </c>
      <c r="C62" s="40" t="s">
        <v>196</v>
      </c>
      <c r="D62" s="40" t="s">
        <v>197</v>
      </c>
      <c r="E62" s="40" t="s">
        <v>198</v>
      </c>
      <c r="F62" s="40" t="s">
        <v>155</v>
      </c>
    </row>
    <row r="63" spans="1:6" x14ac:dyDescent="0.3">
      <c r="A63" s="144"/>
      <c r="B63" s="44">
        <f>'Salários.VA.VT.QteDias'!C19</f>
        <v>3</v>
      </c>
      <c r="C63" s="40">
        <v>2</v>
      </c>
      <c r="D63" s="40">
        <f>'Salários.VA.VT.QteDias'!B34</f>
        <v>2</v>
      </c>
      <c r="E63" s="44">
        <f>TRUNC(($F$34*6%),2)</f>
        <v>63.81</v>
      </c>
      <c r="F63" s="44">
        <f>TRUNC(IF(E63&gt;=12,0,((B63*C63*D63)-E63)),2)</f>
        <v>0</v>
      </c>
    </row>
    <row r="64" spans="1:6" x14ac:dyDescent="0.3">
      <c r="A64" s="137" t="s">
        <v>158</v>
      </c>
      <c r="B64" s="137" t="s">
        <v>199</v>
      </c>
      <c r="C64" s="137"/>
      <c r="D64" s="46" t="s">
        <v>197</v>
      </c>
      <c r="E64" s="46" t="s">
        <v>198</v>
      </c>
      <c r="F64" s="46" t="s">
        <v>155</v>
      </c>
    </row>
    <row r="65" spans="1:8" x14ac:dyDescent="0.3">
      <c r="A65" s="137"/>
      <c r="B65" s="152">
        <f>'Salários.VA.VT.QteDias'!B19</f>
        <v>26.53</v>
      </c>
      <c r="C65" s="152"/>
      <c r="D65" s="46">
        <f>'Salários.VA.VT.QteDias'!B34</f>
        <v>2</v>
      </c>
      <c r="E65" s="47">
        <f>TRUNC(0.1*(B65*D65),2)</f>
        <v>5.3</v>
      </c>
      <c r="F65" s="47">
        <f>TRUNC(((B65*D65)-E65),2)</f>
        <v>47.76</v>
      </c>
    </row>
    <row r="66" spans="1:8" x14ac:dyDescent="0.3">
      <c r="A66" s="144" t="s">
        <v>160</v>
      </c>
      <c r="B66" s="151" t="s">
        <v>200</v>
      </c>
      <c r="C66" s="151"/>
      <c r="D66" s="151"/>
      <c r="E66" s="151"/>
      <c r="F66" s="40" t="s">
        <v>155</v>
      </c>
    </row>
    <row r="67" spans="1:8" x14ac:dyDescent="0.3">
      <c r="A67" s="144"/>
      <c r="B67" s="151"/>
      <c r="C67" s="151"/>
      <c r="D67" s="151"/>
      <c r="E67" s="151"/>
      <c r="F67" s="102">
        <v>0</v>
      </c>
    </row>
    <row r="68" spans="1:8" x14ac:dyDescent="0.3">
      <c r="A68" s="137" t="s">
        <v>162</v>
      </c>
      <c r="B68" s="150" t="s">
        <v>201</v>
      </c>
      <c r="C68" s="150"/>
      <c r="D68" s="150"/>
      <c r="E68" s="150"/>
      <c r="F68" s="46" t="s">
        <v>155</v>
      </c>
    </row>
    <row r="69" spans="1:8" x14ac:dyDescent="0.3">
      <c r="A69" s="137"/>
      <c r="B69" s="150"/>
      <c r="C69" s="150"/>
      <c r="D69" s="150"/>
      <c r="E69" s="150"/>
      <c r="F69" s="103">
        <v>0</v>
      </c>
    </row>
    <row r="70" spans="1:8" x14ac:dyDescent="0.3">
      <c r="A70" s="144" t="s">
        <v>164</v>
      </c>
      <c r="B70" s="151" t="s">
        <v>202</v>
      </c>
      <c r="C70" s="151"/>
      <c r="D70" s="151"/>
      <c r="E70" s="151"/>
      <c r="F70" s="40" t="s">
        <v>155</v>
      </c>
    </row>
    <row r="71" spans="1:8" x14ac:dyDescent="0.3">
      <c r="A71" s="144"/>
      <c r="B71" s="151"/>
      <c r="C71" s="151"/>
      <c r="D71" s="151"/>
      <c r="E71" s="151"/>
      <c r="F71" s="102">
        <v>0</v>
      </c>
    </row>
    <row r="72" spans="1:8" x14ac:dyDescent="0.3">
      <c r="A72" s="141" t="s">
        <v>203</v>
      </c>
      <c r="B72" s="141"/>
      <c r="C72" s="141"/>
      <c r="D72" s="141"/>
      <c r="E72" s="141"/>
      <c r="F72" s="48">
        <f>TRUNC(SUM(F63,F65,F67,F69,F71),2)</f>
        <v>47.76</v>
      </c>
    </row>
    <row r="73" spans="1:8" x14ac:dyDescent="0.3">
      <c r="A73" s="143" t="s">
        <v>204</v>
      </c>
      <c r="B73" s="143"/>
      <c r="C73" s="143"/>
      <c r="D73" s="143"/>
      <c r="E73" s="143"/>
      <c r="F73" s="143"/>
    </row>
    <row r="74" spans="1:8" x14ac:dyDescent="0.3">
      <c r="A74" s="40" t="s">
        <v>205</v>
      </c>
      <c r="B74" s="135" t="s">
        <v>206</v>
      </c>
      <c r="C74" s="135"/>
      <c r="D74" s="135"/>
      <c r="E74" s="135"/>
      <c r="F74" s="40" t="s">
        <v>155</v>
      </c>
      <c r="H74" s="60"/>
    </row>
    <row r="75" spans="1:8" x14ac:dyDescent="0.3">
      <c r="A75" s="46" t="s">
        <v>173</v>
      </c>
      <c r="B75" s="136" t="s">
        <v>207</v>
      </c>
      <c r="C75" s="136"/>
      <c r="D75" s="136"/>
      <c r="E75" s="136"/>
      <c r="F75" s="47">
        <f>$F$48</f>
        <v>528.82000000000005</v>
      </c>
    </row>
    <row r="76" spans="1:8" x14ac:dyDescent="0.3">
      <c r="A76" s="40" t="s">
        <v>180</v>
      </c>
      <c r="B76" s="135" t="s">
        <v>208</v>
      </c>
      <c r="C76" s="135"/>
      <c r="D76" s="135"/>
      <c r="E76" s="135"/>
      <c r="F76" s="44">
        <f>$F$59</f>
        <v>1946.77</v>
      </c>
    </row>
    <row r="77" spans="1:8" x14ac:dyDescent="0.3">
      <c r="A77" s="46" t="s">
        <v>193</v>
      </c>
      <c r="B77" s="136" t="s">
        <v>194</v>
      </c>
      <c r="C77" s="136"/>
      <c r="D77" s="136"/>
      <c r="E77" s="136"/>
      <c r="F77" s="47">
        <f>$F$72</f>
        <v>47.76</v>
      </c>
    </row>
    <row r="78" spans="1:8" x14ac:dyDescent="0.3">
      <c r="A78" s="141" t="s">
        <v>209</v>
      </c>
      <c r="B78" s="141"/>
      <c r="C78" s="141"/>
      <c r="D78" s="141"/>
      <c r="E78" s="141"/>
      <c r="F78" s="48">
        <f>TRUNC(SUM(F75:F77),2)</f>
        <v>2523.35</v>
      </c>
    </row>
    <row r="79" spans="1:8" x14ac:dyDescent="0.3">
      <c r="A79" s="139"/>
      <c r="B79" s="139"/>
      <c r="C79" s="139"/>
      <c r="D79" s="139"/>
      <c r="E79" s="139"/>
      <c r="F79" s="139"/>
    </row>
    <row r="80" spans="1:8" x14ac:dyDescent="0.3">
      <c r="A80" s="141" t="s">
        <v>210</v>
      </c>
      <c r="B80" s="141"/>
      <c r="C80" s="141"/>
      <c r="D80" s="141"/>
      <c r="E80" s="141"/>
      <c r="F80" s="141"/>
    </row>
    <row r="81" spans="1:6" x14ac:dyDescent="0.3">
      <c r="A81" s="40">
        <v>3</v>
      </c>
      <c r="B81" s="135" t="s">
        <v>211</v>
      </c>
      <c r="C81" s="135"/>
      <c r="D81" s="135"/>
      <c r="E81" s="45" t="s">
        <v>175</v>
      </c>
      <c r="F81" s="45" t="s">
        <v>155</v>
      </c>
    </row>
    <row r="82" spans="1:6" x14ac:dyDescent="0.3">
      <c r="A82" s="49" t="s">
        <v>156</v>
      </c>
      <c r="B82" s="146" t="s">
        <v>212</v>
      </c>
      <c r="C82" s="146"/>
      <c r="D82" s="146"/>
      <c r="E82" s="104">
        <f>(56.24%)*5.55%*(1/12)</f>
        <v>2.6010999999999999E-3</v>
      </c>
      <c r="F82" s="51">
        <f>TRUNC((($F$41+$F$48)*E82),2)</f>
        <v>13.76</v>
      </c>
    </row>
    <row r="83" spans="1:6" x14ac:dyDescent="0.3">
      <c r="A83" s="52" t="s">
        <v>158</v>
      </c>
      <c r="B83" s="147" t="s">
        <v>213</v>
      </c>
      <c r="C83" s="147"/>
      <c r="D83" s="147"/>
      <c r="E83" s="105">
        <f>(8%*0.29%)</f>
        <v>2.32E-4</v>
      </c>
      <c r="F83" s="61">
        <f>TRUNC((($F$41+$F$48)*E83),2)</f>
        <v>1.22</v>
      </c>
    </row>
    <row r="84" spans="1:6" ht="16.5" customHeight="1" x14ac:dyDescent="0.3">
      <c r="A84" s="49" t="s">
        <v>160</v>
      </c>
      <c r="B84" s="149" t="s">
        <v>214</v>
      </c>
      <c r="C84" s="149"/>
      <c r="D84" s="149"/>
      <c r="E84" s="104">
        <f>(56.24%)*5.55%*40%*8%</f>
        <v>9.9882240000000004E-4</v>
      </c>
      <c r="F84" s="51">
        <f>TRUNC((($F$41+$F$48)*E84),2)</f>
        <v>5.28</v>
      </c>
    </row>
    <row r="85" spans="1:6" x14ac:dyDescent="0.3">
      <c r="A85" s="52" t="s">
        <v>162</v>
      </c>
      <c r="B85" s="147" t="s">
        <v>215</v>
      </c>
      <c r="C85" s="147"/>
      <c r="D85" s="147"/>
      <c r="E85" s="105">
        <f>((56.24%)*94.45%*(7/30)/12)</f>
        <v>1.0328632222222222E-2</v>
      </c>
      <c r="F85" s="61">
        <f>TRUNC((($F$41+$F$48)*E85),2)</f>
        <v>54.64</v>
      </c>
    </row>
    <row r="86" spans="1:6" x14ac:dyDescent="0.3">
      <c r="A86" s="51" t="s">
        <v>164</v>
      </c>
      <c r="B86" s="148" t="s">
        <v>216</v>
      </c>
      <c r="C86" s="148"/>
      <c r="D86" s="148"/>
      <c r="E86" s="104">
        <f>1.03%*36.8%</f>
        <v>3.7904000000000002E-3</v>
      </c>
      <c r="F86" s="51">
        <f>TRUNC((($F$41+$F$48)*E86),2)</f>
        <v>20.05</v>
      </c>
    </row>
    <row r="87" spans="1:6" x14ac:dyDescent="0.3">
      <c r="A87" s="52" t="s">
        <v>166</v>
      </c>
      <c r="B87" s="147" t="s">
        <v>217</v>
      </c>
      <c r="C87" s="147"/>
      <c r="D87" s="147"/>
      <c r="E87" s="105">
        <f>(56.24%)*94.45%*40%*8%</f>
        <v>1.6997977600000002E-2</v>
      </c>
      <c r="F87" s="61">
        <f>TRUNC((($F$41+F48)*E87),2)</f>
        <v>89.92</v>
      </c>
    </row>
    <row r="88" spans="1:6" x14ac:dyDescent="0.3">
      <c r="A88" s="141" t="s">
        <v>218</v>
      </c>
      <c r="B88" s="141"/>
      <c r="C88" s="141"/>
      <c r="D88" s="141"/>
      <c r="E88" s="59">
        <f>SUM(E82:E87)</f>
        <v>3.4948932222222229E-2</v>
      </c>
      <c r="F88" s="48">
        <f>TRUNC(SUM(F82:F87),2)</f>
        <v>184.87</v>
      </c>
    </row>
    <row r="89" spans="1:6" x14ac:dyDescent="0.3">
      <c r="A89" s="139"/>
      <c r="B89" s="139"/>
      <c r="C89" s="139"/>
      <c r="D89" s="139"/>
      <c r="E89" s="139"/>
      <c r="F89" s="139"/>
    </row>
    <row r="90" spans="1:6" x14ac:dyDescent="0.3">
      <c r="A90" s="141" t="s">
        <v>219</v>
      </c>
      <c r="B90" s="141"/>
      <c r="C90" s="141"/>
      <c r="D90" s="141"/>
      <c r="E90" s="141"/>
      <c r="F90" s="141"/>
    </row>
    <row r="91" spans="1:6" x14ac:dyDescent="0.3">
      <c r="A91" s="143" t="s">
        <v>220</v>
      </c>
      <c r="B91" s="143"/>
      <c r="C91" s="143"/>
      <c r="D91" s="143"/>
      <c r="E91" s="143"/>
      <c r="F91" s="143"/>
    </row>
    <row r="92" spans="1:6" x14ac:dyDescent="0.3">
      <c r="A92" s="40" t="s">
        <v>221</v>
      </c>
      <c r="B92" s="135" t="s">
        <v>222</v>
      </c>
      <c r="C92" s="135"/>
      <c r="D92" s="135"/>
      <c r="E92" s="45" t="s">
        <v>175</v>
      </c>
      <c r="F92" s="45" t="s">
        <v>155</v>
      </c>
    </row>
    <row r="93" spans="1:6" x14ac:dyDescent="0.3">
      <c r="A93" s="49" t="s">
        <v>156</v>
      </c>
      <c r="B93" s="146" t="s">
        <v>223</v>
      </c>
      <c r="C93" s="146"/>
      <c r="D93" s="146"/>
      <c r="E93" s="56"/>
      <c r="F93" s="62">
        <f t="shared" ref="F93:F98" si="1">TRUNC((($F$41+$F$78)*E93),2)</f>
        <v>0</v>
      </c>
    </row>
    <row r="94" spans="1:6" x14ac:dyDescent="0.3">
      <c r="A94" s="52" t="s">
        <v>158</v>
      </c>
      <c r="B94" s="147" t="s">
        <v>224</v>
      </c>
      <c r="C94" s="147"/>
      <c r="D94" s="147"/>
      <c r="E94" s="105">
        <f>(8/30)/12</f>
        <v>2.2222222222222223E-2</v>
      </c>
      <c r="F94" s="61">
        <f t="shared" si="1"/>
        <v>161.88</v>
      </c>
    </row>
    <row r="95" spans="1:6" x14ac:dyDescent="0.3">
      <c r="A95" s="49" t="s">
        <v>160</v>
      </c>
      <c r="B95" s="146" t="s">
        <v>225</v>
      </c>
      <c r="C95" s="146"/>
      <c r="D95" s="146"/>
      <c r="E95" s="104">
        <f>(((20/30)/12)*1.416%*45.22%)</f>
        <v>3.557306666666666E-4</v>
      </c>
      <c r="F95" s="62">
        <f t="shared" si="1"/>
        <v>2.59</v>
      </c>
    </row>
    <row r="96" spans="1:6" x14ac:dyDescent="0.3">
      <c r="A96" s="52" t="s">
        <v>162</v>
      </c>
      <c r="B96" s="147" t="s">
        <v>226</v>
      </c>
      <c r="C96" s="147"/>
      <c r="D96" s="147"/>
      <c r="E96" s="105">
        <f>((15/30)/12)*0.44%</f>
        <v>1.8333333333333334E-4</v>
      </c>
      <c r="F96" s="61">
        <f t="shared" si="1"/>
        <v>1.33</v>
      </c>
    </row>
    <row r="97" spans="1:6" x14ac:dyDescent="0.3">
      <c r="A97" s="49" t="s">
        <v>164</v>
      </c>
      <c r="B97" s="146" t="s">
        <v>227</v>
      </c>
      <c r="C97" s="146"/>
      <c r="D97" s="146"/>
      <c r="E97" s="104">
        <f>(((180/30)/12*1.416%*54.78%*36.8%))</f>
        <v>1.4272600319999999E-3</v>
      </c>
      <c r="F97" s="62">
        <f t="shared" si="1"/>
        <v>10.39</v>
      </c>
    </row>
    <row r="98" spans="1:6" x14ac:dyDescent="0.3">
      <c r="A98" s="52" t="s">
        <v>166</v>
      </c>
      <c r="B98" s="147" t="s">
        <v>228</v>
      </c>
      <c r="C98" s="147"/>
      <c r="D98" s="147"/>
      <c r="E98" s="105">
        <v>0</v>
      </c>
      <c r="F98" s="61">
        <f t="shared" si="1"/>
        <v>0</v>
      </c>
    </row>
    <row r="99" spans="1:6" x14ac:dyDescent="0.3">
      <c r="A99" s="141" t="s">
        <v>229</v>
      </c>
      <c r="B99" s="141"/>
      <c r="C99" s="141"/>
      <c r="D99" s="141"/>
      <c r="E99" s="59">
        <f>SUM(E93:E98)</f>
        <v>2.4188546254222225E-2</v>
      </c>
      <c r="F99" s="48">
        <f>TRUNC(SUM(F93:F98),2)</f>
        <v>176.19</v>
      </c>
    </row>
    <row r="100" spans="1:6" x14ac:dyDescent="0.3">
      <c r="A100" s="143" t="s">
        <v>230</v>
      </c>
      <c r="B100" s="143"/>
      <c r="C100" s="143"/>
      <c r="D100" s="143"/>
      <c r="E100" s="143"/>
      <c r="F100" s="143"/>
    </row>
    <row r="101" spans="1:6" x14ac:dyDescent="0.3">
      <c r="A101" s="40" t="s">
        <v>231</v>
      </c>
      <c r="B101" s="135" t="s">
        <v>232</v>
      </c>
      <c r="C101" s="135"/>
      <c r="D101" s="135"/>
      <c r="E101" s="45" t="s">
        <v>175</v>
      </c>
      <c r="F101" s="45" t="s">
        <v>155</v>
      </c>
    </row>
    <row r="102" spans="1:6" x14ac:dyDescent="0.3">
      <c r="A102" s="49" t="s">
        <v>156</v>
      </c>
      <c r="B102" s="146" t="s">
        <v>233</v>
      </c>
      <c r="C102" s="146"/>
      <c r="D102" s="146"/>
      <c r="E102" s="63" t="s">
        <v>234</v>
      </c>
      <c r="F102" s="51">
        <v>0</v>
      </c>
    </row>
    <row r="103" spans="1:6" x14ac:dyDescent="0.3">
      <c r="A103" s="143" t="s">
        <v>235</v>
      </c>
      <c r="B103" s="143"/>
      <c r="C103" s="143"/>
      <c r="D103" s="143"/>
      <c r="E103" s="143"/>
      <c r="F103" s="143"/>
    </row>
    <row r="104" spans="1:6" x14ac:dyDescent="0.3">
      <c r="A104" s="40" t="s">
        <v>236</v>
      </c>
      <c r="B104" s="135" t="s">
        <v>237</v>
      </c>
      <c r="C104" s="135"/>
      <c r="D104" s="135"/>
      <c r="E104" s="135"/>
      <c r="F104" s="45" t="s">
        <v>155</v>
      </c>
    </row>
    <row r="105" spans="1:6" x14ac:dyDescent="0.3">
      <c r="A105" s="46" t="s">
        <v>221</v>
      </c>
      <c r="B105" s="136" t="s">
        <v>222</v>
      </c>
      <c r="C105" s="136"/>
      <c r="D105" s="136"/>
      <c r="E105" s="136"/>
      <c r="F105" s="47">
        <f>$F$99</f>
        <v>176.19</v>
      </c>
    </row>
    <row r="106" spans="1:6" x14ac:dyDescent="0.3">
      <c r="A106" s="40" t="s">
        <v>231</v>
      </c>
      <c r="B106" s="135" t="s">
        <v>232</v>
      </c>
      <c r="C106" s="135"/>
      <c r="D106" s="135"/>
      <c r="E106" s="135"/>
      <c r="F106" s="44">
        <v>0</v>
      </c>
    </row>
    <row r="107" spans="1:6" x14ac:dyDescent="0.3">
      <c r="A107" s="141" t="s">
        <v>238</v>
      </c>
      <c r="B107" s="141"/>
      <c r="C107" s="141"/>
      <c r="D107" s="141"/>
      <c r="E107" s="141"/>
      <c r="F107" s="48">
        <f>TRUNC(SUM(F105+F106),2)</f>
        <v>176.19</v>
      </c>
    </row>
    <row r="108" spans="1:6" x14ac:dyDescent="0.3">
      <c r="A108" s="139"/>
      <c r="B108" s="139"/>
      <c r="C108" s="139"/>
      <c r="D108" s="139"/>
      <c r="E108" s="139"/>
      <c r="F108" s="139"/>
    </row>
    <row r="109" spans="1:6" x14ac:dyDescent="0.3">
      <c r="A109" s="141" t="s">
        <v>239</v>
      </c>
      <c r="B109" s="141"/>
      <c r="C109" s="141"/>
      <c r="D109" s="141"/>
      <c r="E109" s="141"/>
      <c r="F109" s="141"/>
    </row>
    <row r="110" spans="1:6" x14ac:dyDescent="0.3">
      <c r="A110" s="40">
        <v>5</v>
      </c>
      <c r="B110" s="135" t="s">
        <v>240</v>
      </c>
      <c r="C110" s="135"/>
      <c r="D110" s="135"/>
      <c r="E110" s="135"/>
      <c r="F110" s="45" t="s">
        <v>155</v>
      </c>
    </row>
    <row r="111" spans="1:6" x14ac:dyDescent="0.3">
      <c r="A111" s="46" t="s">
        <v>156</v>
      </c>
      <c r="B111" s="136" t="s">
        <v>11</v>
      </c>
      <c r="C111" s="136"/>
      <c r="D111" s="136"/>
      <c r="E111" s="136"/>
      <c r="F111" s="47">
        <f>Unif!I9</f>
        <v>93.18</v>
      </c>
    </row>
    <row r="112" spans="1:6" x14ac:dyDescent="0.3">
      <c r="A112" s="40" t="s">
        <v>158</v>
      </c>
      <c r="B112" s="135" t="s">
        <v>241</v>
      </c>
      <c r="C112" s="135"/>
      <c r="D112" s="135"/>
      <c r="E112" s="135"/>
      <c r="F112" s="44">
        <v>0</v>
      </c>
    </row>
    <row r="113" spans="1:6" x14ac:dyDescent="0.3">
      <c r="A113" s="46" t="s">
        <v>160</v>
      </c>
      <c r="B113" s="136" t="s">
        <v>242</v>
      </c>
      <c r="C113" s="136"/>
      <c r="D113" s="136"/>
      <c r="E113" s="136"/>
      <c r="F113" s="47"/>
    </row>
    <row r="114" spans="1:6" x14ac:dyDescent="0.3">
      <c r="A114" s="40" t="s">
        <v>162</v>
      </c>
      <c r="B114" s="135" t="s">
        <v>243</v>
      </c>
      <c r="C114" s="135"/>
      <c r="D114" s="135"/>
      <c r="E114" s="135"/>
      <c r="F114" s="44">
        <f>EPIs!F15</f>
        <v>36.08</v>
      </c>
    </row>
    <row r="115" spans="1:6" x14ac:dyDescent="0.3">
      <c r="A115" s="141" t="s">
        <v>244</v>
      </c>
      <c r="B115" s="141"/>
      <c r="C115" s="141"/>
      <c r="D115" s="141"/>
      <c r="E115" s="141"/>
      <c r="F115" s="48">
        <f>TRUNC(SUM(F111:F114),2)</f>
        <v>129.26</v>
      </c>
    </row>
    <row r="116" spans="1:6" x14ac:dyDescent="0.3">
      <c r="A116" s="139"/>
      <c r="B116" s="139"/>
      <c r="C116" s="139"/>
      <c r="D116" s="139"/>
      <c r="E116" s="139"/>
      <c r="F116" s="139"/>
    </row>
    <row r="117" spans="1:6" x14ac:dyDescent="0.3">
      <c r="A117" s="141" t="s">
        <v>245</v>
      </c>
      <c r="B117" s="141"/>
      <c r="C117" s="141"/>
      <c r="D117" s="141"/>
      <c r="E117" s="141"/>
      <c r="F117" s="141"/>
    </row>
    <row r="118" spans="1:6" x14ac:dyDescent="0.3">
      <c r="A118" s="144" t="s">
        <v>246</v>
      </c>
      <c r="B118" s="144"/>
      <c r="C118" s="144"/>
      <c r="D118" s="144"/>
      <c r="E118" s="45" t="s">
        <v>175</v>
      </c>
      <c r="F118" s="64" t="s">
        <v>155</v>
      </c>
    </row>
    <row r="119" spans="1:6" x14ac:dyDescent="0.3">
      <c r="A119" s="46" t="s">
        <v>156</v>
      </c>
      <c r="B119" s="136" t="s">
        <v>247</v>
      </c>
      <c r="C119" s="136"/>
      <c r="D119" s="136"/>
      <c r="E119" s="65">
        <f>'Salários.VA.VT.QteDias'!$D$46</f>
        <v>4.7300000000000002E-2</v>
      </c>
      <c r="F119" s="51">
        <f>TRUNC(($F$134*$E$119),2)</f>
        <v>367.76</v>
      </c>
    </row>
    <row r="120" spans="1:6" x14ac:dyDescent="0.3">
      <c r="A120" s="40" t="s">
        <v>158</v>
      </c>
      <c r="B120" s="135" t="s">
        <v>248</v>
      </c>
      <c r="C120" s="135"/>
      <c r="D120" s="135"/>
      <c r="E120" s="66">
        <f>'Salários.VA.VT.QteDias'!$D$47</f>
        <v>5.57E-2</v>
      </c>
      <c r="F120" s="54">
        <f>TRUNC((($F$134+$F$119)*E120),2)</f>
        <v>453.55</v>
      </c>
    </row>
    <row r="121" spans="1:6" x14ac:dyDescent="0.3">
      <c r="A121" s="145" t="s">
        <v>249</v>
      </c>
      <c r="B121" s="145"/>
      <c r="C121" s="145"/>
      <c r="D121" s="145"/>
      <c r="E121" s="67" t="s">
        <v>175</v>
      </c>
      <c r="F121" s="68" t="s">
        <v>155</v>
      </c>
    </row>
    <row r="122" spans="1:6" x14ac:dyDescent="0.3">
      <c r="A122" s="40" t="s">
        <v>156</v>
      </c>
      <c r="B122" s="135" t="s">
        <v>50</v>
      </c>
      <c r="C122" s="135"/>
      <c r="D122" s="135"/>
      <c r="E122" s="106">
        <v>6.4999999999999997E-3</v>
      </c>
      <c r="F122" s="54">
        <f>TRUNC(((($F$134+$F$119+$F$120)/0.9135)*E122),2)</f>
        <v>61.16</v>
      </c>
    </row>
    <row r="123" spans="1:6" x14ac:dyDescent="0.3">
      <c r="A123" s="41" t="s">
        <v>158</v>
      </c>
      <c r="B123" s="140" t="s">
        <v>250</v>
      </c>
      <c r="C123" s="140"/>
      <c r="D123" s="140"/>
      <c r="E123" s="107">
        <v>0.03</v>
      </c>
      <c r="F123" s="69">
        <f>TRUNC(((($F$134+$F$119+$F$120)/0.9135)*E123),2)</f>
        <v>282.31</v>
      </c>
    </row>
    <row r="124" spans="1:6" x14ac:dyDescent="0.3">
      <c r="A124" s="40" t="s">
        <v>160</v>
      </c>
      <c r="B124" s="135" t="s">
        <v>52</v>
      </c>
      <c r="C124" s="135"/>
      <c r="D124" s="135"/>
      <c r="E124" s="106">
        <v>0.05</v>
      </c>
      <c r="F124" s="54">
        <f>TRUNC(((($F$134+$F$119+$F$120)/0.9135)*E124),2)</f>
        <v>470.51</v>
      </c>
    </row>
    <row r="125" spans="1:6" x14ac:dyDescent="0.3">
      <c r="A125" s="141" t="s">
        <v>251</v>
      </c>
      <c r="B125" s="141"/>
      <c r="C125" s="141"/>
      <c r="D125" s="141"/>
      <c r="E125" s="59">
        <f>SUM(E122:E124)</f>
        <v>8.6499999999999994E-2</v>
      </c>
      <c r="F125" s="48">
        <f>TRUNC(SUM($F$119,$F$120,$F$122,$F$123,$F$124),2)</f>
        <v>1635.29</v>
      </c>
    </row>
    <row r="126" spans="1:6" x14ac:dyDescent="0.3">
      <c r="A126" s="139"/>
      <c r="B126" s="139"/>
      <c r="C126" s="139"/>
      <c r="D126" s="139"/>
      <c r="E126" s="139"/>
      <c r="F126" s="139"/>
    </row>
    <row r="127" spans="1:6" x14ac:dyDescent="0.3">
      <c r="A127" s="142" t="s">
        <v>252</v>
      </c>
      <c r="B127" s="142"/>
      <c r="C127" s="142"/>
      <c r="D127" s="142"/>
      <c r="E127" s="142"/>
      <c r="F127" s="142"/>
    </row>
    <row r="128" spans="1:6" x14ac:dyDescent="0.3">
      <c r="A128" s="143" t="s">
        <v>253</v>
      </c>
      <c r="B128" s="143"/>
      <c r="C128" s="143"/>
      <c r="D128" s="143"/>
      <c r="E128" s="143"/>
      <c r="F128" s="1" t="s">
        <v>155</v>
      </c>
    </row>
    <row r="129" spans="1:8" x14ac:dyDescent="0.3">
      <c r="A129" s="40" t="s">
        <v>156</v>
      </c>
      <c r="B129" s="135" t="s">
        <v>254</v>
      </c>
      <c r="C129" s="135"/>
      <c r="D129" s="135"/>
      <c r="E129" s="135"/>
      <c r="F129" s="44">
        <f>$F$41</f>
        <v>4761.42</v>
      </c>
    </row>
    <row r="130" spans="1:8" x14ac:dyDescent="0.3">
      <c r="A130" s="46" t="s">
        <v>158</v>
      </c>
      <c r="B130" s="136" t="s">
        <v>255</v>
      </c>
      <c r="C130" s="136"/>
      <c r="D130" s="136"/>
      <c r="E130" s="136"/>
      <c r="F130" s="47">
        <f>$F$78</f>
        <v>2523.35</v>
      </c>
    </row>
    <row r="131" spans="1:8" x14ac:dyDescent="0.3">
      <c r="A131" s="40" t="s">
        <v>160</v>
      </c>
      <c r="B131" s="135" t="s">
        <v>256</v>
      </c>
      <c r="C131" s="135"/>
      <c r="D131" s="135"/>
      <c r="E131" s="135"/>
      <c r="F131" s="44">
        <f>$F$88</f>
        <v>184.87</v>
      </c>
    </row>
    <row r="132" spans="1:8" x14ac:dyDescent="0.3">
      <c r="A132" s="46" t="s">
        <v>162</v>
      </c>
      <c r="B132" s="136" t="s">
        <v>257</v>
      </c>
      <c r="C132" s="136"/>
      <c r="D132" s="136"/>
      <c r="E132" s="136"/>
      <c r="F132" s="47">
        <f>$F$107</f>
        <v>176.19</v>
      </c>
    </row>
    <row r="133" spans="1:8" x14ac:dyDescent="0.3">
      <c r="A133" s="40" t="s">
        <v>164</v>
      </c>
      <c r="B133" s="135" t="s">
        <v>258</v>
      </c>
      <c r="C133" s="135"/>
      <c r="D133" s="135"/>
      <c r="E133" s="135"/>
      <c r="F133" s="44">
        <f>$F$115</f>
        <v>129.26</v>
      </c>
    </row>
    <row r="134" spans="1:8" x14ac:dyDescent="0.3">
      <c r="A134" s="137" t="s">
        <v>259</v>
      </c>
      <c r="B134" s="137"/>
      <c r="C134" s="137"/>
      <c r="D134" s="137"/>
      <c r="E134" s="137"/>
      <c r="F134" s="47">
        <f>TRUNC(SUM(F129:F133),2)</f>
        <v>7775.09</v>
      </c>
    </row>
    <row r="135" spans="1:8" x14ac:dyDescent="0.3">
      <c r="A135" s="40" t="s">
        <v>166</v>
      </c>
      <c r="B135" s="138" t="s">
        <v>260</v>
      </c>
      <c r="C135" s="138"/>
      <c r="D135" s="138"/>
      <c r="E135" s="138"/>
      <c r="F135" s="44">
        <f>TRUNC(($F$125),2)</f>
        <v>1635.29</v>
      </c>
    </row>
    <row r="136" spans="1:8" ht="16.5" customHeight="1" x14ac:dyDescent="0.3">
      <c r="A136" s="137" t="s">
        <v>261</v>
      </c>
      <c r="B136" s="137"/>
      <c r="C136" s="137"/>
      <c r="D136" s="137"/>
      <c r="E136" s="137"/>
      <c r="F136" s="47">
        <f>TRUNC(($F$134 + $F$135),2)</f>
        <v>9410.3799999999992</v>
      </c>
    </row>
    <row r="137" spans="1:8" ht="16.5" customHeight="1" x14ac:dyDescent="0.3">
      <c r="A137" s="139"/>
      <c r="B137" s="139"/>
      <c r="C137" s="139"/>
      <c r="D137" s="139"/>
      <c r="E137" s="139"/>
      <c r="F137" s="139"/>
      <c r="H137" s="60"/>
    </row>
    <row r="138" spans="1:8" ht="16.5" customHeight="1" x14ac:dyDescent="0.3">
      <c r="A138" s="119" t="s">
        <v>262</v>
      </c>
      <c r="B138" s="119"/>
      <c r="C138" s="119"/>
      <c r="D138" s="119"/>
      <c r="E138" s="119"/>
      <c r="F138" s="119"/>
    </row>
    <row r="139" spans="1:8" ht="20.399999999999999" x14ac:dyDescent="0.3">
      <c r="A139" s="70" t="s">
        <v>263</v>
      </c>
      <c r="B139" s="42" t="s">
        <v>264</v>
      </c>
      <c r="C139" s="42" t="s">
        <v>56</v>
      </c>
      <c r="D139" s="42" t="s">
        <v>265</v>
      </c>
      <c r="E139" s="42" t="s">
        <v>266</v>
      </c>
      <c r="F139" s="42" t="s">
        <v>267</v>
      </c>
    </row>
    <row r="140" spans="1:8" ht="30" customHeight="1" x14ac:dyDescent="0.3">
      <c r="A140" s="71" t="str">
        <f>$C$26</f>
        <v>Marinheiro Fluvial Regional do Convés</v>
      </c>
      <c r="B140" s="72">
        <f>$F$136</f>
        <v>9410.3799999999992</v>
      </c>
      <c r="C140" s="71">
        <f>$C$22</f>
        <v>1</v>
      </c>
      <c r="D140" s="71">
        <f>$C$18</f>
        <v>12</v>
      </c>
      <c r="E140" s="72">
        <f>TRUNC(($B$140 * $C$140),2)</f>
        <v>9410.3799999999992</v>
      </c>
      <c r="F140" s="72">
        <f>TRUNC(($D$140 * $E$140),2)</f>
        <v>112924.56</v>
      </c>
    </row>
    <row r="141" spans="1:8" ht="16.5" customHeight="1" x14ac:dyDescent="0.3">
      <c r="A141" s="39"/>
      <c r="B141" s="39"/>
      <c r="C141" s="39"/>
      <c r="D141" s="39"/>
      <c r="E141" s="39"/>
      <c r="F141" s="39"/>
    </row>
    <row r="142" spans="1:8" ht="16.5" customHeight="1" x14ac:dyDescent="0.3">
      <c r="A142" s="119" t="s">
        <v>268</v>
      </c>
      <c r="B142" s="119"/>
      <c r="C142" s="119"/>
      <c r="D142" s="119"/>
      <c r="E142" s="119"/>
      <c r="F142" s="119"/>
    </row>
    <row r="143" spans="1:8" x14ac:dyDescent="0.3">
      <c r="A143" s="70" t="s">
        <v>263</v>
      </c>
      <c r="B143" s="42" t="s">
        <v>264</v>
      </c>
      <c r="C143" s="42" t="s">
        <v>269</v>
      </c>
      <c r="D143" s="42" t="s">
        <v>270</v>
      </c>
      <c r="E143" s="42" t="s">
        <v>120</v>
      </c>
      <c r="F143" s="42" t="s">
        <v>271</v>
      </c>
    </row>
    <row r="144" spans="1:8" ht="30" customHeight="1" x14ac:dyDescent="0.3">
      <c r="A144" s="71" t="str">
        <f>$C$26</f>
        <v>Marinheiro Fluvial Regional do Convés</v>
      </c>
      <c r="B144" s="72">
        <f>$F$136</f>
        <v>9410.3799999999992</v>
      </c>
      <c r="C144" s="71">
        <v>3</v>
      </c>
      <c r="D144" s="73">
        <f>TRUNC(($E$140/30),2)</f>
        <v>313.67</v>
      </c>
      <c r="E144" s="72">
        <f>TRUNC(($C$144 * $D$144),2)</f>
        <v>941.01</v>
      </c>
      <c r="F144" s="72">
        <f>TRUNC(($E$144 * 12),2)</f>
        <v>11292.12</v>
      </c>
    </row>
    <row r="145" spans="1:6" x14ac:dyDescent="0.3">
      <c r="A145" s="11"/>
      <c r="B145" s="11"/>
      <c r="C145" s="11"/>
      <c r="D145" s="11"/>
      <c r="E145" s="11"/>
      <c r="F145" s="11"/>
    </row>
    <row r="146" spans="1:6" x14ac:dyDescent="0.3">
      <c r="A146" s="11"/>
      <c r="B146" s="11"/>
      <c r="C146" s="11"/>
      <c r="D146" s="11"/>
      <c r="E146" s="11"/>
      <c r="F146" s="11"/>
    </row>
    <row r="147" spans="1:6" x14ac:dyDescent="0.3">
      <c r="A147" s="11"/>
      <c r="B147" s="11"/>
      <c r="C147" s="11"/>
      <c r="D147" s="11"/>
      <c r="E147" s="11"/>
      <c r="F147" s="11"/>
    </row>
    <row r="148" spans="1:6" x14ac:dyDescent="0.3">
      <c r="A148" s="11"/>
      <c r="B148" s="11"/>
      <c r="C148" s="11"/>
      <c r="D148" s="11"/>
      <c r="E148" s="11"/>
      <c r="F148" s="11"/>
    </row>
    <row r="149" spans="1:6" x14ac:dyDescent="0.3">
      <c r="A149" s="11"/>
      <c r="B149" s="11"/>
      <c r="C149" s="11"/>
      <c r="D149" s="11"/>
      <c r="E149" s="11"/>
      <c r="F149" s="11"/>
    </row>
    <row r="150" spans="1:6" x14ac:dyDescent="0.3">
      <c r="A150" s="11"/>
      <c r="B150" s="11"/>
      <c r="C150" s="11"/>
      <c r="D150" s="11"/>
      <c r="E150" s="11"/>
      <c r="F150" s="11"/>
    </row>
  </sheetData>
  <sheetProtection sheet="1" objects="1" scenarios="1"/>
  <protectedRanges>
    <protectedRange sqref="C10:F10 C13:F13 C15:F17 C28:F28 C30:F30 F35:F40 E53 F67 F69 F71 E82:E87 E94:E98 E122:E124" name="Intervalo1"/>
  </protectedRanges>
  <mergeCells count="147">
    <mergeCell ref="A1:F6"/>
    <mergeCell ref="A7:F7"/>
    <mergeCell ref="A8:F8"/>
    <mergeCell ref="A9:B9"/>
    <mergeCell ref="C9:F9"/>
    <mergeCell ref="A10:B10"/>
    <mergeCell ref="C10:F10"/>
    <mergeCell ref="A11:F11"/>
    <mergeCell ref="A12:F12"/>
    <mergeCell ref="A13:B13"/>
    <mergeCell ref="C13:F13"/>
    <mergeCell ref="A14:B14"/>
    <mergeCell ref="C14:F14"/>
    <mergeCell ref="A15:B17"/>
    <mergeCell ref="C15:F15"/>
    <mergeCell ref="C16:F16"/>
    <mergeCell ref="C17:F17"/>
    <mergeCell ref="A18:B18"/>
    <mergeCell ref="C18:F18"/>
    <mergeCell ref="A19:F19"/>
    <mergeCell ref="A20:F20"/>
    <mergeCell ref="A21:B21"/>
    <mergeCell ref="C21:F21"/>
    <mergeCell ref="A22:B22"/>
    <mergeCell ref="C22:F22"/>
    <mergeCell ref="A23:F23"/>
    <mergeCell ref="A24:F24"/>
    <mergeCell ref="A25:F25"/>
    <mergeCell ref="A26:B26"/>
    <mergeCell ref="C26:F26"/>
    <mergeCell ref="A27:B27"/>
    <mergeCell ref="C27:F27"/>
    <mergeCell ref="A28:B28"/>
    <mergeCell ref="C28:F28"/>
    <mergeCell ref="A29:B29"/>
    <mergeCell ref="C29:F29"/>
    <mergeCell ref="A30:B30"/>
    <mergeCell ref="C30:F30"/>
    <mergeCell ref="A31:F31"/>
    <mergeCell ref="A32:F32"/>
    <mergeCell ref="B33:E33"/>
    <mergeCell ref="B34:E34"/>
    <mergeCell ref="B35:E35"/>
    <mergeCell ref="B36:E36"/>
    <mergeCell ref="B37:E37"/>
    <mergeCell ref="B38:E38"/>
    <mergeCell ref="B39:E39"/>
    <mergeCell ref="B40:E40"/>
    <mergeCell ref="A41:E41"/>
    <mergeCell ref="A42:F42"/>
    <mergeCell ref="A43:F43"/>
    <mergeCell ref="A44:F44"/>
    <mergeCell ref="B45:D45"/>
    <mergeCell ref="B46:D46"/>
    <mergeCell ref="B47:D47"/>
    <mergeCell ref="A48:D48"/>
    <mergeCell ref="A49:F49"/>
    <mergeCell ref="B50:D50"/>
    <mergeCell ref="B51:D51"/>
    <mergeCell ref="B52:D52"/>
    <mergeCell ref="B53:D53"/>
    <mergeCell ref="B54:D54"/>
    <mergeCell ref="B55:D55"/>
    <mergeCell ref="B56:D56"/>
    <mergeCell ref="B57:D57"/>
    <mergeCell ref="B58:D58"/>
    <mergeCell ref="A59:D59"/>
    <mergeCell ref="A60:F60"/>
    <mergeCell ref="B61:F61"/>
    <mergeCell ref="A62:A63"/>
    <mergeCell ref="A64:A65"/>
    <mergeCell ref="B64:C64"/>
    <mergeCell ref="B65:C65"/>
    <mergeCell ref="A66:A67"/>
    <mergeCell ref="B66:E67"/>
    <mergeCell ref="A68:A69"/>
    <mergeCell ref="B68:E69"/>
    <mergeCell ref="A70:A71"/>
    <mergeCell ref="B70:E71"/>
    <mergeCell ref="A72:E72"/>
    <mergeCell ref="A73:F73"/>
    <mergeCell ref="B74:E74"/>
    <mergeCell ref="B75:E75"/>
    <mergeCell ref="B76:E76"/>
    <mergeCell ref="B77:E77"/>
    <mergeCell ref="A78:E78"/>
    <mergeCell ref="A79:F79"/>
    <mergeCell ref="A80:F80"/>
    <mergeCell ref="B81:D81"/>
    <mergeCell ref="B82:D82"/>
    <mergeCell ref="B83:D83"/>
    <mergeCell ref="B84:D84"/>
    <mergeCell ref="B85:D85"/>
    <mergeCell ref="B86:D86"/>
    <mergeCell ref="B87:D87"/>
    <mergeCell ref="A88:D88"/>
    <mergeCell ref="A89:F89"/>
    <mergeCell ref="A90:F90"/>
    <mergeCell ref="A91:F91"/>
    <mergeCell ref="B92:D92"/>
    <mergeCell ref="B93:D93"/>
    <mergeCell ref="B94:D94"/>
    <mergeCell ref="B95:D95"/>
    <mergeCell ref="B96:D96"/>
    <mergeCell ref="B97:D97"/>
    <mergeCell ref="B98:D98"/>
    <mergeCell ref="A99:D99"/>
    <mergeCell ref="A100:F100"/>
    <mergeCell ref="B101:D101"/>
    <mergeCell ref="B102:D102"/>
    <mergeCell ref="A103:F103"/>
    <mergeCell ref="B104:E104"/>
    <mergeCell ref="B105:E105"/>
    <mergeCell ref="B106:E106"/>
    <mergeCell ref="A107:E107"/>
    <mergeCell ref="A108:F108"/>
    <mergeCell ref="A109:F109"/>
    <mergeCell ref="B110:E110"/>
    <mergeCell ref="B111:E111"/>
    <mergeCell ref="B112:E112"/>
    <mergeCell ref="B113:E113"/>
    <mergeCell ref="B114:E114"/>
    <mergeCell ref="A115:E115"/>
    <mergeCell ref="A116:F116"/>
    <mergeCell ref="A117:F117"/>
    <mergeCell ref="A118:D118"/>
    <mergeCell ref="B119:D119"/>
    <mergeCell ref="B120:D120"/>
    <mergeCell ref="A121:D121"/>
    <mergeCell ref="B122:D122"/>
    <mergeCell ref="B123:D123"/>
    <mergeCell ref="B124:D124"/>
    <mergeCell ref="A125:D125"/>
    <mergeCell ref="A126:F126"/>
    <mergeCell ref="A127:F127"/>
    <mergeCell ref="A128:E128"/>
    <mergeCell ref="B129:E129"/>
    <mergeCell ref="B130:E130"/>
    <mergeCell ref="B131:E131"/>
    <mergeCell ref="B132:E132"/>
    <mergeCell ref="B133:E133"/>
    <mergeCell ref="A134:E134"/>
    <mergeCell ref="B135:E135"/>
    <mergeCell ref="A136:E136"/>
    <mergeCell ref="A137:F137"/>
    <mergeCell ref="A138:F138"/>
    <mergeCell ref="A142:F142"/>
  </mergeCells>
  <hyperlinks>
    <hyperlink ref="C9" r:id="rId1" location="/134037411" xr:uid="{00000000-0004-0000-0600-000000000000}"/>
    <hyperlink ref="C27" r:id="rId2" xr:uid="{00000000-0004-0000-0600-000001000000}"/>
  </hyperlinks>
  <pageMargins left="0.7" right="0.7" top="0.75" bottom="0.75" header="0.511811023622047" footer="0.511811023622047"/>
  <pageSetup paperSize="9" orientation="portrait" horizontalDpi="300" verticalDpi="300"/>
  <drawing r:id="rId3"/>
  <legacyDrawing r:id="rId4"/>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2</vt:i4>
      </vt:variant>
    </vt:vector>
  </HeadingPairs>
  <TitlesOfParts>
    <vt:vector size="12" baseType="lpstr">
      <vt:lpstr>INSTRUÇOES PARA PREENCHIMENTO</vt:lpstr>
      <vt:lpstr>NP</vt:lpstr>
      <vt:lpstr>Proposta de Preços</vt:lpstr>
      <vt:lpstr>PC</vt:lpstr>
      <vt:lpstr>Salários.VA.VT.QteDias</vt:lpstr>
      <vt:lpstr>Unif</vt:lpstr>
      <vt:lpstr>Materiais + MLPH</vt:lpstr>
      <vt:lpstr>EPIs</vt:lpstr>
      <vt:lpstr>Marinheiro</vt:lpstr>
      <vt:lpstr>Piloto de Embarcações</vt:lpstr>
      <vt:lpstr>'INSTRUÇOES PARA PREENCHIMENTO'!Area_de_impressao</vt:lpstr>
      <vt:lpstr>'INSTRUÇOES PARA PREENCHIMENTO'!Print_Area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dc:description/>
  <cp:lastModifiedBy>Jefferson Feijó</cp:lastModifiedBy>
  <cp:revision>2</cp:revision>
  <dcterms:created xsi:type="dcterms:W3CDTF">2024-07-11T20:10:42Z</dcterms:created>
  <dcterms:modified xsi:type="dcterms:W3CDTF">2025-06-17T14:43:26Z</dcterms:modified>
  <dc:language>pt-BR</dc:language>
</cp:coreProperties>
</file>